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e Value Add" sheetId="1" state="visible" r:id="rId3"/>
    <sheet name="Front Page" sheetId="2" state="visible" r:id="rId4"/>
    <sheet name="Executive Summary" sheetId="3" state="visible" r:id="rId5"/>
    <sheet name="Assumptions" sheetId="4" state="visible" r:id="rId6"/>
    <sheet name="Phased Works Investment" sheetId="5" state="visible" r:id="rId7"/>
    <sheet name="Investment &amp; Returns" sheetId="6" state="visible" r:id="rId8"/>
    <sheet name="Employment &amp; GDP Impact" sheetId="7" state="visible" r:id="rId9"/>
    <sheet name="Northumbrian Comparison" sheetId="8" state="visible" r:id="rId10"/>
    <sheet name="Sensitivity &amp; GDP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<sst xmlns="http://schemas.openxmlformats.org/spreadsheetml/2006/main" count="609" uniqueCount="559">
  <si>
    <t xml:space="preserve">THE TRIPLE FLIP</t>
  </si>
  <si>
    <t xml:space="preserve">How waste becomes wealth: every cost becomes income</t>
  </si>
  <si>
    <t xml:space="preserve">This sheet models what Wales currently PAYS for the status quo, and shows how</t>
  </si>
  <si>
    <t xml:space="preserve">every cost line flips to zero or to positive income when waste is treated as a resource.</t>
  </si>
  <si>
    <t xml:space="preserve">All figures are annual (£m/year) at full programme build-out. Blue cells are editable assumptions.</t>
  </si>
  <si>
    <t xml:space="preserve">CORE ASSUMPTIONS</t>
  </si>
  <si>
    <t xml:space="preserve">Welsh working-age population</t>
  </si>
  <si>
    <t xml:space="preserve">Source: ONS / Welsh Gov</t>
  </si>
  <si>
    <t xml:space="preserve">Currently unemployed</t>
  </si>
  <si>
    <t xml:space="preserve">Source: Welsh Gov APS ~4.5% rate</t>
  </si>
  <si>
    <t xml:space="preserve">Welsh GDP / GVA (£m)</t>
  </si>
  <si>
    <t xml:space="preserve">Source: ONS Regional GVA 2023</t>
  </si>
  <si>
    <t xml:space="preserve">Average annual benefit cost per unemployed person (£)</t>
  </si>
  <si>
    <t xml:space="preserve">Est: UC standard + housing element average</t>
  </si>
  <si>
    <t xml:space="preserve">Average salary in programme (blended, £)</t>
  </si>
  <si>
    <t xml:space="preserve">Est: blend of construction, operations, technical</t>
  </si>
  <si>
    <t xml:space="preserve">Effective tax + NI rate on employment (%)</t>
  </si>
  <si>
    <t xml:space="preserve">Combined income tax + employee/employer NI</t>
  </si>
  <si>
    <t xml:space="preserve">Pension contribution rate (%)</t>
  </si>
  <si>
    <t xml:space="preserve">Economic multiplier (Type II)</t>
  </si>
  <si>
    <t xml:space="preserve">Jobs created (direct + multiplier, from Employment sheet)</t>
  </si>
  <si>
    <t xml:space="preserve">Total permanent jobs with multiplier from main model</t>
  </si>
  <si>
    <t xml:space="preserve">FLIP 1: COSTS THAT BECOME ZERO — what Wales currently pays that it wouldn't</t>
  </si>
  <si>
    <t xml:space="preserve">COST NOW (£m/yr)</t>
  </si>
  <si>
    <t xml:space="preserve">COST AFTER (£m/yr)</t>
  </si>
  <si>
    <t xml:space="preserve">SWING (£m/yr)</t>
  </si>
  <si>
    <t xml:space="preserve">Welsh Water energy bill (purchased from grid)</t>
  </si>
  <si>
    <t xml:space="preserve">Residual £10m for grid-dependent sites. Source: Utility Week</t>
  </si>
  <si>
    <t xml:space="preserve">Sludge disposal / management costs</t>
  </si>
  <si>
    <t xml:space="preserve">Est: transport, treatment, landspreading currently. Becomes feedstock</t>
  </si>
  <si>
    <t xml:space="preserve">Farm slurry compliance costs (across all suitable farms)</t>
  </si>
  <si>
    <t xml:space="preserve">Est: storage, spreading restrictions, NVZ compliance. ~£13k/farm × 2,250</t>
  </si>
  <si>
    <t xml:space="preserve">Chemical fertiliser imports (replaced by digestate)</t>
  </si>
  <si>
    <t xml:space="preserve">Est: Welsh farm fertiliser spend. Digestate replaces ~85%. Source: AHDB / Defra</t>
  </si>
  <si>
    <t xml:space="preserve">Unemployment benefits (for jobs created)</t>
  </si>
  <si>
    <t xml:space="preserve">Calculated: jobs created ÷ multiplier × benefit cost (direct jobs only)</t>
  </si>
  <si>
    <t xml:space="preserve">Ofwat fines &amp; penalties (annualised recent trend)</t>
  </si>
  <si>
    <t xml:space="preserve">£40m fine in 2024 ÷ 5 years. Better performance = fewer penalties</t>
  </si>
  <si>
    <t xml:space="preserve">Pollution-related health costs (bathing water illness)</t>
  </si>
  <si>
    <t xml:space="preserve">Est: NHS Wales costs from sewage-related illness. Conservative</t>
  </si>
  <si>
    <t xml:space="preserve">Environmental monitoring &amp; remediation (NRW)</t>
  </si>
  <si>
    <t xml:space="preserve">Est: NRW enforcement, monitoring, incident response for sewage/slurry</t>
  </si>
  <si>
    <t xml:space="preserve">TOTAL FLIP 1: COSTS ELIMINATED (£m/yr)</t>
  </si>
  <si>
    <t xml:space="preserve">FLIP 2: ZERO BECOMES INCOME — new revenue that doesn't currently exist</t>
  </si>
  <si>
    <t xml:space="preserve">NOW (£m/yr)</t>
  </si>
  <si>
    <t xml:space="preserve">NEW INCOME (£m/yr)</t>
  </si>
  <si>
    <t xml:space="preserve">Electricity generation from sludge AAD</t>
  </si>
  <si>
    <t xml:space="preserve">From Investment &amp; Returns sheet</t>
  </si>
  <si>
    <t xml:space="preserve">Biomethane grid injection revenue</t>
  </si>
  <si>
    <t xml:space="preserve">Est: biomethane sales to grid from gas-to-grid hub sites</t>
  </si>
  <si>
    <t xml:space="preserve">Farm AD energy sales to grid</t>
  </si>
  <si>
    <t xml:space="preserve">From Employment &amp; GDP sheet</t>
  </si>
  <si>
    <t xml:space="preserve">Digestate sales as certified fertiliser</t>
  </si>
  <si>
    <t xml:space="preserve">Gate fees from accepting third-party organic waste</t>
  </si>
  <si>
    <t xml:space="preserve">Est: food waste, trade effluent gate fees at hub AD plants</t>
  </si>
  <si>
    <t xml:space="preserve">Carbon credits / GGSS / green certificates</t>
  </si>
  <si>
    <t xml:space="preserve">Est: Green Gas Support Scheme + voluntary carbon market</t>
  </si>
  <si>
    <t xml:space="preserve">Tourism uplift from cleaner bathing waters</t>
  </si>
  <si>
    <t xml:space="preserve">Est: 2% of ~£2.5bn coastal tourism. Conservative — clean Blue Flag beaches</t>
  </si>
  <si>
    <t xml:space="preserve">Tax &amp; NI receipts from new employment</t>
  </si>
  <si>
    <t xml:space="preserve">Calculated: direct jobs × salary × tax rate</t>
  </si>
  <si>
    <t xml:space="preserve">Pension fund contributions from new employment</t>
  </si>
  <si>
    <t xml:space="preserve">Calculated: direct jobs × salary × pension rate</t>
  </si>
  <si>
    <t xml:space="preserve">TOTAL FLIP 2: NEW INCOME CREATED (£m/yr)</t>
  </si>
  <si>
    <t xml:space="preserve">FLIP 3: INCOME BECOMES GROWTH — the multiplier effect</t>
  </si>
  <si>
    <t xml:space="preserve">Direct wages circulating in Welsh economy (£m/yr)</t>
  </si>
  <si>
    <t xml:space="preserve">Supply chain spend retained in Wales (£m/yr)</t>
  </si>
  <si>
    <t xml:space="preserve">WW capex (60% local) annualised + farm AD (80% local)</t>
  </si>
  <si>
    <t xml:space="preserve">Local consumer spending from new wages (£m/yr)</t>
  </si>
  <si>
    <t xml:space="preserve">Est: 70% of wages spent locally (rent, food, services)</t>
  </si>
  <si>
    <t xml:space="preserve">VAT generated from local spending (£m/yr)</t>
  </si>
  <si>
    <t xml:space="preserve">Secondary jobs from local spending (est.)</t>
  </si>
  <si>
    <t xml:space="preserve">Each £33k of local spend supports roughly one further job</t>
  </si>
  <si>
    <t xml:space="preserve">THE TOTAL ANNUAL VALUE SWING</t>
  </si>
  <si>
    <t xml:space="preserve">Costs eliminated (Flip 1)</t>
  </si>
  <si>
    <t xml:space="preserve">New income created (Flip 2)</t>
  </si>
  <si>
    <t xml:space="preserve">TOTAL ANNUAL VALUE SWING (£m/yr)</t>
  </si>
  <si>
    <t xml:space="preserve">As % of Welsh GDP</t>
  </si>
  <si>
    <t xml:space="preserve">WHY THIS IS LIKE DISCOVERING A RESOURCE</t>
  </si>
  <si>
    <t xml:space="preserve">Unlike oil, gas, or minerals:</t>
  </si>
  <si>
    <t xml:space="preserve">  • The feedstock replenishes every day — 3.1m people and 1.1m cattle produce it continuously</t>
  </si>
  <si>
    <t xml:space="preserve">  • It never depletes — population and livestock are permanent</t>
  </si>
  <si>
    <t xml:space="preserve">  • Extracting it CLEANS the environment instead of polluting it</t>
  </si>
  <si>
    <t xml:space="preserve">  • Wales already owns 100% of the resource — no extraction licences, no foreign ownership</t>
  </si>
  <si>
    <t xml:space="preserve">  • The 'extraction infrastructure' (treatment works, farms) largely exists already</t>
  </si>
  <si>
    <t xml:space="preserve">  • No subsidy is required — the resource pays for its own processing</t>
  </si>
  <si>
    <t xml:space="preserve">Current status: Wales is PAYING to flush this resource into its own seas and rivers.</t>
  </si>
  <si>
    <t xml:space="preserve">THE EMPLOYMENT HEADLINE</t>
  </si>
  <si>
    <t xml:space="preserve">Currently unemployed in Wales</t>
  </si>
  <si>
    <t xml:space="preserve">Total jobs created by programme (direct + multiplier)</t>
  </si>
  <si>
    <t xml:space="preserve">As % of currently unemployed</t>
  </si>
  <si>
    <t xml:space="preserve">Each employed person shifts from COSTING the state to CONTRIBUTING</t>
  </si>
  <si>
    <t xml:space="preserve">Per-person annual swing: benefit saved + tax gained (£)</t>
  </si>
  <si>
    <t xml:space="preserve">Benefits no longer paid + tax/NI now received = double swing per person</t>
  </si>
  <si>
    <t xml:space="preserve">"Wales is sitting on a resource that replenishes every day, cleans the environment when extracted,</t>
  </si>
  <si>
    <t xml:space="preserve">creates thousands of permanent jobs, generates energy and fertiliser, needs no subsidy, and is currently</t>
  </si>
  <si>
    <t xml:space="preserve">being flushed into the sea at public expense. There is no cost to acting. There is only the cost of not acting."</t>
  </si>
  <si>
    <t xml:space="preserve">WASTE AS RESOURCE</t>
  </si>
  <si>
    <t xml:space="preserve">Economic Impact Model for Comprehensive Sludge-to-Energy Investment by Dŵr Cymru Welsh Water</t>
  </si>
  <si>
    <t xml:space="preserve">THE PROPOSITION</t>
  </si>
  <si>
    <t xml:space="preserve">Welsh Water could pay every household 25p a week, create hundreds of</t>
  </si>
  <si>
    <t xml:space="preserve">permanent skilled Welsh jobs, clean up your seas and rivers, and boost</t>
  </si>
  <si>
    <t xml:space="preserve">Welsh GDP — simply by turning sewage into energy. No subsidy required.</t>
  </si>
  <si>
    <t xml:space="preserve">THE PRECEDENT</t>
  </si>
  <si>
    <t xml:space="preserve">Northumbrian Water processes 100% of its sewage sludge through advanced anaerobic digestion.</t>
  </si>
  <si>
    <t xml:space="preserve">It has the lowest combined water and sewerage bills in England, is rated by Ofwat as the most</t>
  </si>
  <si>
    <t xml:space="preserve">efficient bioresources company in the sector, and its investment programme creates 3,000 jobs/year.</t>
  </si>
  <si>
    <t xml:space="preserve">KEY ASSUMPTIONS</t>
  </si>
  <si>
    <t xml:space="preserve">This model is built on the following core assumptions. All are editable on the Assumptions sheet.</t>
  </si>
  <si>
    <t xml:space="preserve">Welsh Water serves</t>
  </si>
  <si>
    <t xml:space="preserve">people across 838 treatment works</t>
  </si>
  <si>
    <t xml:space="preserve">Welsh Water's annual energy bill is approximately</t>
  </si>
  <si>
    <t xml:space="preserve">Current energy self-generation is approximately</t>
  </si>
  <si>
    <t xml:space="preserve">of needs (target was 35% by 2025)</t>
  </si>
  <si>
    <t xml:space="preserve">Estimated total sludge production</t>
  </si>
  <si>
    <t xml:space="preserve">tonnes dry solids per year</t>
  </si>
  <si>
    <t xml:space="preserve">Capital cost per kWe installed</t>
  </si>
  <si>
    <t xml:space="preserve">(industry range £2,500–£7,000; mid-point used)</t>
  </si>
  <si>
    <t xml:space="preserve">Bond interest rate</t>
  </si>
  <si>
    <t xml:space="preserve">(long-duration utility infrastructure bond)</t>
  </si>
  <si>
    <t xml:space="preserve">Local supply chain spend target</t>
  </si>
  <si>
    <t xml:space="preserve">(matching Northumbrian Water's 60p per £1 commitment)</t>
  </si>
  <si>
    <t xml:space="preserve">(ONS UK construction range 1.5–2.0; sensitivity shown)</t>
  </si>
  <si>
    <t xml:space="preserve">Construction jobs per £1m capital spend</t>
  </si>
  <si>
    <t xml:space="preserve">(UK construction industry average)</t>
  </si>
  <si>
    <t xml:space="preserve">Plant operational life</t>
  </si>
  <si>
    <t xml:space="preserve">(standard AD plant lifespan)</t>
  </si>
  <si>
    <t xml:space="preserve">KEY OUTPUTS</t>
  </si>
  <si>
    <t xml:space="preserve">Total investment (Welsh Water + farm AD, £m)</t>
  </si>
  <si>
    <t xml:space="preserve">over 10 years (avg £m/yr on Investment sheet)</t>
  </si>
  <si>
    <t xml:space="preserve">Net annual benefit at full capacity</t>
  </si>
  <si>
    <t xml:space="preserve">Net benefit per household per year</t>
  </si>
  <si>
    <t xml:space="preserve">— that's 25p a week back to each household</t>
  </si>
  <si>
    <t xml:space="preserve">per year during build phase (WW + farm + engineering)</t>
  </si>
  <si>
    <t xml:space="preserve">for the 35-year life of the plants (all roles, with multiplier)</t>
  </si>
  <si>
    <t xml:space="preserve">capital programme + ongoing revenue + wages + tourism</t>
  </si>
  <si>
    <t xml:space="preserve">50% of sludge fully processed within</t>
  </si>
  <si>
    <t xml:space="preserve">4 years</t>
  </si>
  <si>
    <t xml:space="preserve">All 838 works connected to hub network within</t>
  </si>
  <si>
    <t xml:space="preserve">10 years</t>
  </si>
  <si>
    <t xml:space="preserve">THIS WORKBOOK CONTAINS</t>
  </si>
  <si>
    <t xml:space="preserve">1. Front Page</t>
  </si>
  <si>
    <t xml:space="preserve">This page — headline figures and core assumptions</t>
  </si>
  <si>
    <t xml:space="preserve">2. Executive Summary</t>
  </si>
  <si>
    <t xml:space="preserve">All key outputs on one page</t>
  </si>
  <si>
    <t xml:space="preserve">3. Phased Works Investment</t>
  </si>
  <si>
    <t xml:space="preserve">Year-by-year build plan for all 838 treatment works</t>
  </si>
  <si>
    <t xml:space="preserve">4. Assumptions</t>
  </si>
  <si>
    <t xml:space="preserve">All editable inputs with sources — change any number and the model updates</t>
  </si>
  <si>
    <t xml:space="preserve">5. Investment &amp; Returns</t>
  </si>
  <si>
    <t xml:space="preserve">Energy generation potential, revenue, costs, net benefit</t>
  </si>
  <si>
    <t xml:space="preserve">6. Employment &amp; GDP Impact</t>
  </si>
  <si>
    <t xml:space="preserve">Jobs, wages, tax, pension contributions, farm-scale AD</t>
  </si>
  <si>
    <t xml:space="preserve">7. Northumbrian Comparison</t>
  </si>
  <si>
    <t xml:space="preserve">Side-by-side: Northumbrian Water vs Welsh Water current vs proposed</t>
  </si>
  <si>
    <t xml:space="preserve">8. Sensitivity &amp; GDP</t>
  </si>
  <si>
    <t xml:space="preserve">Multiplier range analysis, full value chain trace, GDP % calculation</t>
  </si>
  <si>
    <t xml:space="preserve">IMPORTANT NOTE</t>
  </si>
  <si>
    <t xml:space="preserve">This model illustrates the scale of opportunity using publicly available data and standard industry parameters.</t>
  </si>
  <si>
    <t xml:space="preserve">It is not a detailed feasibility study. All assumptions are transparently stated and editable. A full engineering</t>
  </si>
  <si>
    <t xml:space="preserve">feasibility study commissioned by Welsh Water would refine these figures — but the order of magnitude is sound.</t>
  </si>
  <si>
    <t xml:space="preserve">March 2026</t>
  </si>
  <si>
    <t xml:space="preserve">EXECUTIVE SUMMARY: KEY FIGURES</t>
  </si>
  <si>
    <t xml:space="preserve">THE INVESTMENT (all 838 treatment works)</t>
  </si>
  <si>
    <t xml:space="preserve">Total Welsh Water AD capital required (£m)</t>
  </si>
  <si>
    <t xml:space="preserve">  Tier 1: 15 major hub sites (£m)</t>
  </si>
  <si>
    <t xml:space="preserve">  Tier 2: 40 regional hubs (£m)</t>
  </si>
  <si>
    <t xml:space="preserve">  Tier 3: 120 spoke sites (£m)</t>
  </si>
  <si>
    <t xml:space="preserve">  Tier 4: 663 rural micro works (£m)</t>
  </si>
  <si>
    <t xml:space="preserve">  Transport fleet &amp; logistics (£m)</t>
  </si>
  <si>
    <t xml:space="preserve">Average annual spend over 10-year programme (£m)</t>
  </si>
  <si>
    <t xml:space="preserve">Additional: Farm-scale AD investment (£m)</t>
  </si>
  <si>
    <t xml:space="preserve">COMBINED TOTAL INVESTMENT (£m)</t>
  </si>
  <si>
    <t xml:space="preserve">THE RETURN (annual, at full build-out)</t>
  </si>
  <si>
    <t xml:space="preserve">Electricity revenue from sludge processing (£m/year)</t>
  </si>
  <si>
    <t xml:space="preserve">Avoided energy purchases - savings (£m/year)</t>
  </si>
  <si>
    <t xml:space="preserve">Digestate/fertiliser revenue (£m/year)</t>
  </si>
  <si>
    <t xml:space="preserve">TOTAL ANNUAL REVENUE/SAVINGS (£m/year)</t>
  </si>
  <si>
    <t xml:space="preserve">Net annual benefit after costs (£m/year)</t>
  </si>
  <si>
    <t xml:space="preserve">Farm energy revenue + fertiliser savings (£m/year)</t>
  </si>
  <si>
    <t xml:space="preserve">THE JOBS</t>
  </si>
  <si>
    <t xml:space="preserve">Peak construction jobs (direct, all programmes)</t>
  </si>
  <si>
    <t xml:space="preserve">Peak total jobs with multiplier (construction)</t>
  </si>
  <si>
    <t xml:space="preserve">Total permanent direct jobs (all roles)</t>
  </si>
  <si>
    <t xml:space="preserve">Permanent transport/logistics jobs</t>
  </si>
  <si>
    <t xml:space="preserve">Total permanent jobs with multiplier</t>
  </si>
  <si>
    <t xml:space="preserve">THE GDP IMPACT</t>
  </si>
  <si>
    <t xml:space="preserve">Total infrastructure investment in Wales (£m)</t>
  </si>
  <si>
    <t xml:space="preserve">Total annual GDP impact at steady state (£m/yr)</t>
  </si>
  <si>
    <t xml:space="preserve">THE CUSTOMER BENEFIT</t>
  </si>
  <si>
    <t xml:space="preserve">Net benefit per household per year (£)</t>
  </si>
  <si>
    <t xml:space="preserve">Cleaner bathing waters</t>
  </si>
  <si>
    <t xml:space="preserve">Yes</t>
  </si>
  <si>
    <t xml:space="preserve">Reduced sewage discharges</t>
  </si>
  <si>
    <t xml:space="preserve">Welsh jobs created</t>
  </si>
  <si>
    <t xml:space="preserve">Dividends leaving Wales</t>
  </si>
  <si>
    <t xml:space="preserve">None</t>
  </si>
  <si>
    <t xml:space="preserve">THE TIMELINE</t>
  </si>
  <si>
    <t xml:space="preserve">50% of sludge processed at full AAD</t>
  </si>
  <si>
    <t xml:space="preserve">By year 4</t>
  </si>
  <si>
    <t xml:space="preserve">All major and regional hubs operational</t>
  </si>
  <si>
    <t xml:space="preserve">By year 6</t>
  </si>
  <si>
    <t xml:space="preserve">100% of works connected to hub network</t>
  </si>
  <si>
    <t xml:space="preserve">By year 10</t>
  </si>
  <si>
    <t xml:space="preserve">NOTE: All figures are estimates based on publicly available data and stated assumptions.</t>
  </si>
  <si>
    <t xml:space="preserve">Assumptions can be adjusted on the Assumptions sheet. All calculations update automatically.</t>
  </si>
  <si>
    <t xml:space="preserve">This model illustrates the scale of opportunity. A detailed feasibility study would refine these figures.</t>
  </si>
  <si>
    <t xml:space="preserve">WASTE AS RESOURCE: ECONOMIC IMPACT MODEL</t>
  </si>
  <si>
    <t xml:space="preserve">Assumptions &amp; Input Parameters</t>
  </si>
  <si>
    <t xml:space="preserve">Blue cells with yellow background are editable assumptions. All other values are calculated.</t>
  </si>
  <si>
    <t xml:space="preserve">Sources</t>
  </si>
  <si>
    <t xml:space="preserve">WELSH WATER BASELINE</t>
  </si>
  <si>
    <t xml:space="preserve">Population served</t>
  </si>
  <si>
    <t xml:space="preserve">Source: Welsh Water corporate website, 2024</t>
  </si>
  <si>
    <t xml:space="preserve">Number of treatment works</t>
  </si>
  <si>
    <t xml:space="preserve">Source: Welsh Water corporate website</t>
  </si>
  <si>
    <t xml:space="preserve">Annual energy bill (£m)</t>
  </si>
  <si>
    <t xml:space="preserve">Source: Utility Week, June 2021</t>
  </si>
  <si>
    <t xml:space="preserve">Current energy self-generation (%)</t>
  </si>
  <si>
    <t xml:space="preserve">Source: Welsh Water Journey to Zero, 2020-21</t>
  </si>
  <si>
    <t xml:space="preserve">Annual revenue (£m)</t>
  </si>
  <si>
    <t xml:space="preserve">Source: Moody's credit opinion, Dec 2024</t>
  </si>
  <si>
    <t xml:space="preserve">Current employees</t>
  </si>
  <si>
    <t xml:space="preserve">Source: Wikipedia / Welsh Water</t>
  </si>
  <si>
    <t xml:space="preserve">SLUDGE &amp; ENERGY PARAMETERS</t>
  </si>
  <si>
    <t xml:space="preserve">Sludge production (g dry solids/person/day)</t>
  </si>
  <si>
    <t xml:space="preserve">Source: Ofwat standard (60g BOD/PE/day)</t>
  </si>
  <si>
    <t xml:space="preserve">Estimated total sludge (tonnes dry solids/year)</t>
  </si>
  <si>
    <t xml:space="preserve">Calculated: population × sludge rate × 365 days</t>
  </si>
  <si>
    <t xml:space="preserve">Biogas yield (m³/tonne dry solids - AAD)</t>
  </si>
  <si>
    <t xml:space="preserve">Source: Industry typical for thermal hydrolysis AAD</t>
  </si>
  <si>
    <t xml:space="preserve">Methane content of biogas (%)</t>
  </si>
  <si>
    <t xml:space="preserve">Source: Industry standard 55-65%</t>
  </si>
  <si>
    <t xml:space="preserve">Energy content of methane (kWh/m³)</t>
  </si>
  <si>
    <t xml:space="preserve">Source: Physics constant</t>
  </si>
  <si>
    <t xml:space="preserve">CHP electrical efficiency (%)</t>
  </si>
  <si>
    <t xml:space="preserve">Source: Typical CHP engine efficiency</t>
  </si>
  <si>
    <t xml:space="preserve">Biomethane grid injection price (p/kWh)</t>
  </si>
  <si>
    <t xml:space="preserve">Source: Approximate UK biomethane price 2024-25</t>
  </si>
  <si>
    <t xml:space="preserve">Electricity export price (p/kWh)</t>
  </si>
  <si>
    <t xml:space="preserve">Source: Approximate UK wholesale + ROC/RGGO</t>
  </si>
  <si>
    <t xml:space="preserve">Digestate fertiliser value (£/tonne dry solids)</t>
  </si>
  <si>
    <t xml:space="preserve">Source: Assured Biosolids - £60m/yr for UK ÷ ~1.7m tDS</t>
  </si>
  <si>
    <t xml:space="preserve">CAPITAL INVESTMENT PARAMETERS</t>
  </si>
  <si>
    <t xml:space="preserve">Capital cost per kWe installed (£)</t>
  </si>
  <si>
    <t xml:space="preserve">Source: edie.net £2,500-7,000/kWe range, mid-point</t>
  </si>
  <si>
    <t xml:space="preserve">Programme duration (years)</t>
  </si>
  <si>
    <t xml:space="preserve">Plant operational life (years)</t>
  </si>
  <si>
    <t xml:space="preserve">Bond interest rate (%)</t>
  </si>
  <si>
    <t xml:space="preserve">Source: Approximate long-duration utility bond rate</t>
  </si>
  <si>
    <t xml:space="preserve">Maintenance cost (% of capex/year)</t>
  </si>
  <si>
    <t xml:space="preserve">Source: edie.net 1-2% range</t>
  </si>
  <si>
    <t xml:space="preserve">% already invested (current capacity)</t>
  </si>
  <si>
    <t xml:space="preserve">Estimate: ~15% based on current 23% self-gen vs potential</t>
  </si>
  <si>
    <t xml:space="preserve">EMPLOYMENT &amp; ECONOMIC MULTIPLIERS</t>
  </si>
  <si>
    <t xml:space="preserve">Source: UK construction industry average</t>
  </si>
  <si>
    <t xml:space="preserve">Permanent operational jobs per major AD plant</t>
  </si>
  <si>
    <t xml:space="preserve">Source: Industry estimate for hub-scale AAD</t>
  </si>
  <si>
    <t xml:space="preserve">Number of hub AD plants to be built</t>
  </si>
  <si>
    <t xml:space="preserve">Estimate: centralised model like Northumbrian</t>
  </si>
  <si>
    <t xml:space="preserve">Local supply chain spend (%)</t>
  </si>
  <si>
    <t xml:space="preserve">Source: Northumbrian Water commits 60p in every £1</t>
  </si>
  <si>
    <t xml:space="preserve">Source: ONS UK construction multiplier approx 1.5-2.0</t>
  </si>
  <si>
    <t xml:space="preserve">Average salary - construction (£)</t>
  </si>
  <si>
    <t xml:space="preserve">Source: ONS median construction salary Wales 2024</t>
  </si>
  <si>
    <t xml:space="preserve">Average salary - plant operations (£)</t>
  </si>
  <si>
    <t xml:space="preserve">Source: Estimate for skilled plant operators Wales</t>
  </si>
  <si>
    <t xml:space="preserve">Income tax + NI rate (effective %)</t>
  </si>
  <si>
    <t xml:space="preserve">Estimate: combined employee + employer NI + income tax</t>
  </si>
  <si>
    <t xml:space="preserve">Source: UK auto-enrolment employer minimum + employee</t>
  </si>
  <si>
    <t xml:space="preserve">FARM-SCALE AD PARAMETERS</t>
  </si>
  <si>
    <t xml:space="preserve">Number of Welsh farms</t>
  </si>
  <si>
    <t xml:space="preserve">Source: Welsh Gov June 2020 Survey — 24,677 holdings</t>
  </si>
  <si>
    <t xml:space="preserve">Dairy farms (primary AD candidates)</t>
  </si>
  <si>
    <t xml:space="preserve">Source: Welsh Gov — ~1,469 dairy + some larger beef. Rounded up</t>
  </si>
  <si>
    <t xml:space="preserve">Beef/sheep farms suitable for community AD</t>
  </si>
  <si>
    <t xml:space="preserve">Estimate: larger beef farms that could cluster into community AD schemes</t>
  </si>
  <si>
    <t xml:space="preserve">Total farms with AD potential</t>
  </si>
  <si>
    <t xml:space="preserve">Source: Farmers Weekly 275kWe for 250-cow unit</t>
  </si>
  <si>
    <t xml:space="preserve">Average farm-scale AD capital cost (£)</t>
  </si>
  <si>
    <t xml:space="preserve">Source: Farmers Weekly / NNFCC — £1.2m for 250-cow dairy unit</t>
  </si>
  <si>
    <t xml:space="preserve">Average farm AD electrical output (kWe)</t>
  </si>
  <si>
    <t xml:space="preserve">Source: Conservative — range 100-500kWe depending on herd size</t>
  </si>
  <si>
    <t xml:space="preserve">Farm AD uptake rate over 15 years (%)</t>
  </si>
  <si>
    <t xml:space="preserve">Assumption: 50% of suitable farms with coordinated support programme</t>
  </si>
  <si>
    <t xml:space="preserve">Jobs per farm AD installation (construction)</t>
  </si>
  <si>
    <t xml:space="preserve">Estimate: 6-12 months construction per unit, 8 person-years equivalent</t>
  </si>
  <si>
    <t xml:space="preserve">Permanent jobs per 10 farm AD plants (maintenance/operations)</t>
  </si>
  <si>
    <t xml:space="preserve">Estimate: shared technicians serving clusters of farm plants</t>
  </si>
  <si>
    <t xml:space="preserve">Fertiliser cost saving per farm (£/year)</t>
  </si>
  <si>
    <t xml:space="preserve">Estimate: digestate replaces £10-20k/yr chemical fertiliser per dairy farm</t>
  </si>
  <si>
    <t xml:space="preserve">Average farm energy income (£/year per AD plant)</t>
  </si>
  <si>
    <t xml:space="preserve">Estimate: 200kWe × 8,000hrs × 85% × £0.12/kWh ≈ £163k revenue minus costs</t>
  </si>
  <si>
    <t xml:space="preserve">DEEPER ECONOMIC PARAMETERS</t>
  </si>
  <si>
    <t xml:space="preserve">Welsh GDP / GVA (£m, 2023)</t>
  </si>
  <si>
    <t xml:space="preserve">Tourism revenue for Welsh coast (£m/year est.)</t>
  </si>
  <si>
    <t xml:space="preserve">Source: Visit Wales — coastal tourism estimate</t>
  </si>
  <si>
    <t xml:space="preserve">Est. tourism uplift from cleaner bathing waters (%)</t>
  </si>
  <si>
    <t xml:space="preserve">Conservative estimate: 2% uplift in coastal tourism from water quality improvement</t>
  </si>
  <si>
    <t xml:space="preserve">Digestate supply chain jobs per 100 farms</t>
  </si>
  <si>
    <t xml:space="preserve">Haulage, spreading, testing, compliance — per 100 farm AD plants</t>
  </si>
  <si>
    <t xml:space="preserve">Engineering/consultancy jobs for programme</t>
  </si>
  <si>
    <t xml:space="preserve">Estimate: design engineers, project managers, environmental consultants</t>
  </si>
  <si>
    <t xml:space="preserve">Monitoring/environmental science jobs</t>
  </si>
  <si>
    <t xml:space="preserve">Water quality monitoring, compliance, NRW interface</t>
  </si>
  <si>
    <t xml:space="preserve">PHASED INVESTMENT: ALL 838 TREATMENT WORKS</t>
  </si>
  <si>
    <t xml:space="preserve">Modelled on Northumbrian Water's hub-and-spoke approach: centralised AAD at major sites, sludge transport from smaller works</t>
  </si>
  <si>
    <t xml:space="preserve">WORKS CLASSIFICATION BY SIZE</t>
  </si>
  <si>
    <t xml:space="preserve">Category</t>
  </si>
  <si>
    <t xml:space="preserve">Number of works</t>
  </si>
  <si>
    <t xml:space="preserve">% of total load</t>
  </si>
  <si>
    <t xml:space="preserve">Sludge (tDS/yr)</t>
  </si>
  <si>
    <t xml:space="preserve">Treatment approach</t>
  </si>
  <si>
    <t xml:space="preserve">Capex per works (£m)</t>
  </si>
  <si>
    <t xml:space="preserve">Total capex (£m)</t>
  </si>
  <si>
    <t xml:space="preserve">Jobs per works (perm)</t>
  </si>
  <si>
    <t xml:space="preserve">Total perm jobs</t>
  </si>
  <si>
    <t xml:space="preserve">Annual energy output (GWh)</t>
  </si>
  <si>
    <t xml:space="preserve">Build phase</t>
  </si>
  <si>
    <t xml:space="preserve">Notes</t>
  </si>
  <si>
    <t xml:space="preserve">Tier 1: Major hubs (&gt;50k PE)</t>
  </si>
  <si>
    <t xml:space="preserve">Full AAD + gas-to-grid</t>
  </si>
  <si>
    <t xml:space="preserve">Years 1-4</t>
  </si>
  <si>
    <t xml:space="preserve">Cardiff, Swansea, Newport, Wrexham etc. Upgrade existing + new build</t>
  </si>
  <si>
    <t xml:space="preserve">Tier 2: Regional hubs (10k-50k PE)</t>
  </si>
  <si>
    <t xml:space="preserve">AAD + CHP</t>
  </si>
  <si>
    <t xml:space="preserve">Years 2-6</t>
  </si>
  <si>
    <t xml:space="preserve">Market towns, larger coastal towns. New AAD builds</t>
  </si>
  <si>
    <t xml:space="preserve">Tier 3: Spoke sites (2k-10k PE)</t>
  </si>
  <si>
    <t xml:space="preserve">Sludge holding + transport to hub</t>
  </si>
  <si>
    <t xml:space="preserve">Processed at hubs</t>
  </si>
  <si>
    <t xml:space="preserve">Included in hub revenue</t>
  </si>
  <si>
    <t xml:space="preserve">Years 3-7</t>
  </si>
  <si>
    <t xml:space="preserve">Sludge thickening, holding tanks, tanker loading. Processed at Tier 1/2 hubs</t>
  </si>
  <si>
    <t xml:space="preserve">Tier 4: Rural micro works (&lt;2k PE)</t>
  </si>
  <si>
    <t xml:space="preserve">Periodic tankering to nearest hub</t>
  </si>
  <si>
    <t xml:space="preserve">Years 5-10</t>
  </si>
  <si>
    <t xml:space="preserve">Tanker collection infrastructure. Many already tankered. Minimal new capex</t>
  </si>
  <si>
    <t xml:space="preserve">Sludge transport fleet &amp; logistics</t>
  </si>
  <si>
    <t xml:space="preserve">Tankers, vehicles, depots</t>
  </si>
  <si>
    <t xml:space="preserve">Estimated: 80 drivers/logistics staff. £50m fleet + depot investment</t>
  </si>
  <si>
    <t xml:space="preserve">TOTALS</t>
  </si>
  <si>
    <t xml:space="preserve">VERIFICATION</t>
  </si>
  <si>
    <t xml:space="preserve">Total works count check</t>
  </si>
  <si>
    <t xml:space="preserve">Should equal 838</t>
  </si>
  <si>
    <t xml:space="preserve">Total population check</t>
  </si>
  <si>
    <t xml:space="preserve">Should equal ~3,100,000</t>
  </si>
  <si>
    <t xml:space="preserve">PHASED ANNUAL CAPITAL SPEND (£m)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</si>
  <si>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</si>
  <si>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</si>
  <si>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</si>
  <si>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</si>
  <si>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</si>
  <si>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</si>
  <si>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</si>
  <si>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</si>
  <si>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</si>
  <si>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</si>
  <si>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Total</t>
  </si>
  <si>
    <t xml:space="preserve">Tier 1: Major hubs</t>
  </si>
  <si>
    <t xml:space="preserve">Tier 2: Regional hubs</t>
  </si>
  <si>
    <t xml:space="preserve">Tier 3: Spoke infrastructure</t>
  </si>
  <si>
    <t xml:space="preserve">Tier 4: Rural micro works</t>
  </si>
  <si>
    <t xml:space="preserve">Transport fleet &amp; logistics</t>
  </si>
  <si>
    <t xml:space="preserve">TOTAL ANNUAL SPEND (£m)</t>
  </si>
  <si>
    <t xml:space="preserve">CONSTRUCTION JOBS BY YEAR (direct)</t>
  </si>
  <si>
    <t xml:space="preserve">Construction jobs (12 per £1m)</t>
  </si>
  <si>
    <t xml:space="preserve">With economic multiplier (×1.7)</t>
  </si>
  <si>
    <t xml:space="preserve">CUMULATIVE ENERGY CAPACITY COMING ONLINE</t>
  </si>
  <si>
    <t xml:space="preserve">Tier 1 hubs online (cumulative)</t>
  </si>
  <si>
    <t xml:space="preserve">Tier 2 hubs online (cumulative)</t>
  </si>
  <si>
    <t xml:space="preserve">% of total sludge processed at full AAD</t>
  </si>
  <si>
    <t xml:space="preserve">Cumulative energy generated (GWh/yr)</t>
  </si>
  <si>
    <t xml:space="preserve">Cumulative revenue (£m/yr)</t>
  </si>
  <si>
    <t xml:space="preserve">KEY MESSAGES FOR CAMPAIGN</t>
  </si>
  <si>
    <t xml:space="preserve">1. Total investment required to bring all 838 works into full sludge processing:</t>
  </si>
  <si>
    <t xml:space="preserve">2. This is spread over 10 years, averaging per year:</t>
  </si>
  <si>
    <t xml:space="preserve">3. Peak year construction jobs (with multiplier):</t>
  </si>
  <si>
    <t xml:space="preserve">4. Permanent operational jobs created:</t>
  </si>
  <si>
    <t xml:space="preserve">5. Annual energy revenue at full build-out:</t>
  </si>
  <si>
    <t xml:space="preserve">6. 50% of sludge processed within:</t>
  </si>
  <si>
    <t xml:space="preserve">~4 years</t>
  </si>
  <si>
    <t xml:space="preserve">All assumptions are editable on the Assumptions sheet. The tier classification is an estimate based on typical UK water industry size distributions.</t>
  </si>
  <si>
    <t xml:space="preserve">Actual works-level data is published by Welsh Water in their bioresources market information and could refine this model significantly.</t>
  </si>
  <si>
    <t xml:space="preserve">INVESTMENT PROGRAMME &amp; ENERGY RETURNS</t>
  </si>
  <si>
    <t xml:space="preserve">ENERGY GENERATION POTENTIAL (at full build-out)</t>
  </si>
  <si>
    <t xml:space="preserve">Total biogas production (million m³/year)</t>
  </si>
  <si>
    <t xml:space="preserve">Methane production (million m³/year)</t>
  </si>
  <si>
    <t xml:space="preserve">Total energy content (GWh/year)</t>
  </si>
  <si>
    <t xml:space="preserve">Electrical generation potential (GWh/year)</t>
  </si>
  <si>
    <t xml:space="preserve">Installed electrical capacity needed (MWe)</t>
  </si>
  <si>
    <t xml:space="preserve">Assuming 90% availability</t>
  </si>
  <si>
    <t xml:space="preserve">CAPITAL INVESTMENT REQUIRED</t>
  </si>
  <si>
    <t xml:space="preserve">New capacity needed (MWe)</t>
  </si>
  <si>
    <t xml:space="preserve">Total capital investment (£m)</t>
  </si>
  <si>
    <t xml:space="preserve">Annual investment over programme (£m/year)</t>
  </si>
  <si>
    <t xml:space="preserve">ANNUAL REVENUE AT FULL CAPACITY</t>
  </si>
  <si>
    <t xml:space="preserve">Electricity revenue (£m/year)</t>
  </si>
  <si>
    <t xml:space="preserve">Avoided energy purchase savings (£m/year)</t>
  </si>
  <si>
    <t xml:space="preserve">Estimate: 70% of currently purchased energy could be offset</t>
  </si>
  <si>
    <t xml:space="preserve">ANNUAL COSTS AT FULL CAPACITY</t>
  </si>
  <si>
    <t xml:space="preserve">Bond interest payments (£m/year)</t>
  </si>
  <si>
    <t xml:space="preserve">Maintenance costs (£m/year)</t>
  </si>
  <si>
    <t xml:space="preserve">Operational staff costs (£m/year)</t>
  </si>
  <si>
    <t xml:space="preserve">TOTAL ANNUAL COSTS (£m/year)</t>
  </si>
  <si>
    <t xml:space="preserve">NET ANNUAL BENEFIT (£m/year)</t>
  </si>
  <si>
    <t xml:space="preserve">Assuming average 2.3 persons per household</t>
  </si>
  <si>
    <t xml:space="preserve">EMPLOYMENT &amp; GDP IMPACT FOR WALES</t>
  </si>
  <si>
    <t xml:space="preserve">CONSTRUCTION PHASE EMPLOYMENT (during 10-year build)</t>
  </si>
  <si>
    <t xml:space="preserve">Annual capital spend in Wales (£m)</t>
  </si>
  <si>
    <t xml:space="preserve">Direct construction jobs per year</t>
  </si>
  <si>
    <t xml:space="preserve">Total jobs supported (with multiplier)</t>
  </si>
  <si>
    <t xml:space="preserve">Annual construction wage bill (£m)</t>
  </si>
  <si>
    <t xml:space="preserve">Tax &amp; NI revenue from construction (£m/year)</t>
  </si>
  <si>
    <t xml:space="preserve">PERMANENT OPERATIONAL EMPLOYMENT</t>
  </si>
  <si>
    <t xml:space="preserve">Direct permanent plant jobs</t>
  </si>
  <si>
    <t xml:space="preserve">Total permanent jobs (with multiplier)</t>
  </si>
  <si>
    <t xml:space="preserve">Annual permanent wage bill (£m)</t>
  </si>
  <si>
    <t xml:space="preserve">Annual tax &amp; NI from operations (£m/year)</t>
  </si>
  <si>
    <t xml:space="preserve">Annual pension contributions (£m/year)</t>
  </si>
  <si>
    <t xml:space="preserve">FARM-SCALE AD EMPLOYMENT</t>
  </si>
  <si>
    <t xml:space="preserve">Farms adopting AD (over 15 years)</t>
  </si>
  <si>
    <t xml:space="preserve">Total farm AD capital investment (£m)</t>
  </si>
  <si>
    <t xml:space="preserve">Annual farm AD investment (£m/year over 15 yrs)</t>
  </si>
  <si>
    <t xml:space="preserve">Farm AD construction jobs (total person-years)</t>
  </si>
  <si>
    <t xml:space="preserve">Farm AD construction jobs per year (over 15 yrs)</t>
  </si>
  <si>
    <t xml:space="preserve">Farm AD permanent maintenance/operations jobs</t>
  </si>
  <si>
    <t xml:space="preserve">85% capacity factor for farm AD</t>
  </si>
  <si>
    <t xml:space="preserve">Farm energy revenue (£m/year at full build)</t>
  </si>
  <si>
    <t xml:space="preserve">Farm fertiliser cost savings (£m/year)</t>
  </si>
  <si>
    <t xml:space="preserve">Direct Welsh Water capital spend in Wales (£m over programme)</t>
  </si>
  <si>
    <t xml:space="preserve">TOTAL PROGRAMME — ALL EMPLOYMENT</t>
  </si>
  <si>
    <t xml:space="preserve">Welsh Water construction jobs/year</t>
  </si>
  <si>
    <t xml:space="preserve">Farm AD construction jobs/year</t>
  </si>
  <si>
    <t xml:space="preserve">Engineering &amp; consultancy jobs</t>
  </si>
  <si>
    <t xml:space="preserve">Source: ONS Regional GVA, Wales 2023</t>
  </si>
  <si>
    <t xml:space="preserve">TOTAL DIRECT CONSTRUCTION PHASE JOBS/YEAR</t>
  </si>
  <si>
    <t xml:space="preserve">Spread over 15 years for combined programme</t>
  </si>
  <si>
    <t xml:space="preserve">WITH MULTIPLIER (×1.7)</t>
  </si>
  <si>
    <t xml:space="preserve">WIDER FISCAL BENEFITS (annual, at steady state)</t>
  </si>
  <si>
    <t xml:space="preserve">Welsh Water plant operation jobs</t>
  </si>
  <si>
    <t xml:space="preserve">Welsh Water transport/logistics jobs</t>
  </si>
  <si>
    <t xml:space="preserve">Farm AD maintenance/operations jobs</t>
  </si>
  <si>
    <t xml:space="preserve">Estimate: £12k/year benefit saving per job filled</t>
  </si>
  <si>
    <t xml:space="preserve">Digestate supply chain jobs</t>
  </si>
  <si>
    <t xml:space="preserve">Environmental monitoring jobs</t>
  </si>
  <si>
    <t xml:space="preserve">TOTAL DIRECT PERMANENT JOBS</t>
  </si>
  <si>
    <t xml:space="preserve">COMPREHENSIVE GDP IMPACT</t>
  </si>
  <si>
    <t xml:space="preserve">Welsh Water capital in Wales (£m)</t>
  </si>
  <si>
    <t xml:space="preserve">Farm AD capital (£m)</t>
  </si>
  <si>
    <t xml:space="preserve">Total direct capital in Welsh economy (£m)</t>
  </si>
  <si>
    <t xml:space="preserve">Annual ongoing revenue retained in Wales (£m/yr)</t>
  </si>
  <si>
    <t xml:space="preserve">WW energy + farm energy + farm fertiliser savings</t>
  </si>
  <si>
    <t xml:space="preserve">Tourism uplift from cleaner waters (£m/yr)</t>
  </si>
  <si>
    <t xml:space="preserve">Permanent annual wages in Welsh economy (£m/yr)</t>
  </si>
  <si>
    <t xml:space="preserve">Blended average salary ~£33k across all permanent roles</t>
  </si>
  <si>
    <t xml:space="preserve">GDP impact of capital (with multiplier, £m)</t>
  </si>
  <si>
    <t xml:space="preserve">GDP impact annualised (over 15yr programme, £m/yr)</t>
  </si>
  <si>
    <t xml:space="preserve">Ongoing annual GDP contribution (revenue + wages, £m/yr)</t>
  </si>
  <si>
    <t xml:space="preserve">TOTAL ANNUAL GDP IMPACT AT STEADY STATE (£m/yr)</t>
  </si>
  <si>
    <t xml:space="preserve">AS % OF WELSH GDP</t>
  </si>
  <si>
    <t xml:space="preserve">COMPARISON: NORTHUMBRIAN WATER vs WELSH WATER</t>
  </si>
  <si>
    <t xml:space="preserve">Metric</t>
  </si>
  <si>
    <t xml:space="preserve">Northumbrian Water</t>
  </si>
  <si>
    <t xml:space="preserve">Welsh Water (current)</t>
  </si>
  <si>
    <t xml:space="preserve">Welsh Water (proposed)</t>
  </si>
  <si>
    <t xml:space="preserve">Sludge processed by AAD (%)</t>
  </si>
  <si>
    <t xml:space="preserve">100%</t>
  </si>
  <si>
    <t xml:space="preserve">~15-20%</t>
  </si>
  <si>
    <t xml:space="preserve">Energy self-sufficiency</t>
  </si>
  <si>
    <t xml:space="preserve">Approaching 100% at major works</t>
  </si>
  <si>
    <t xml:space="preserve">~23%</t>
  </si>
  <si>
    <t xml:space="preserve">70%+ potential</t>
  </si>
  <si>
    <t xml:space="preserve">Biomethane to grid</t>
  </si>
  <si>
    <t xml:space="preserve">Yes - 5,000 homes equivalent</t>
  </si>
  <si>
    <t xml:space="preserve">1 site (Five Fords)</t>
  </si>
  <si>
    <t xml:space="preserve">Multiple hub sites</t>
  </si>
  <si>
    <t xml:space="preserve">Ofwat bioresources efficiency</t>
  </si>
  <si>
    <t xml:space="preserve">Frontier company (+32%)</t>
  </si>
  <si>
    <t xml:space="preserve">Below average</t>
  </si>
  <si>
    <t xml:space="preserve">Target: frontier</t>
  </si>
  <si>
    <t xml:space="preserve">Combined bills ranking (England)</t>
  </si>
  <si>
    <t xml:space="preserve">Lowest</t>
  </si>
  <si>
    <t xml:space="preserve">N/A (Wales)</t>
  </si>
  <si>
    <t xml:space="preserve">Target: lowest possible</t>
  </si>
  <si>
    <t xml:space="preserve">Ownership model</t>
  </si>
  <si>
    <t xml:space="preserve">Private (KKR etc.)</t>
  </si>
  <si>
    <t xml:space="preserve">Not-for-profit (Glas Cymru)</t>
  </si>
  <si>
    <t xml:space="preserve">Dividends paid</t>
  </si>
  <si>
    <t xml:space="preserve">Yes - to shareholders</t>
  </si>
  <si>
    <t xml:space="preserve">Investment stays local</t>
  </si>
  <si>
    <t xml:space="preserve">60p per £1 local commitment</t>
  </si>
  <si>
    <t xml:space="preserve">Not stated</t>
  </si>
  <si>
    <t xml:space="preserve">Target: 60p+ per £1</t>
  </si>
  <si>
    <t xml:space="preserve">Net zero target</t>
  </si>
  <si>
    <t xml:space="preserve">2027</t>
  </si>
  <si>
    <t xml:space="preserve">2040</t>
  </si>
  <si>
    <t xml:space="preserve">Accelerate to 2030-35</t>
  </si>
  <si>
    <t xml:space="preserve">Jobs from current programme</t>
  </si>
  <si>
    <t xml:space="preserve">3,000/year</t>
  </si>
  <si>
    <t xml:space="preserve">Not stated at this scale</t>
  </si>
  <si>
    <t xml:space="preserve">See Employment sheet</t>
  </si>
  <si>
    <t xml:space="preserve">SENSITIVITY ANALYSIS &amp; GDP IMPACT</t>
  </si>
  <si>
    <t xml:space="preserve">GDP IMPACT — HEADLINE FIGURES</t>
  </si>
  <si>
    <t xml:space="preserve">Welsh GDP (GVA, approx 2023)</t>
  </si>
  <si>
    <t xml:space="preserve">Source: ONS Regional GVA, Wales</t>
  </si>
  <si>
    <t xml:space="preserve">Total Welsh Water infrastructure investment (£m)</t>
  </si>
  <si>
    <t xml:space="preserve">Total farm-scale AD investment (£m)</t>
  </si>
  <si>
    <t xml:space="preserve">Combined investment (£m)</t>
  </si>
  <si>
    <t xml:space="preserve">Local spend proportion (%)</t>
  </si>
  <si>
    <t xml:space="preserve">Investment retained in Wales (£m)</t>
  </si>
  <si>
    <t xml:space="preserve">MULTIPLIER SENSITIVITY ANALYSIS</t>
  </si>
  <si>
    <t xml:space="preserve">Conservative (1.5)</t>
  </si>
  <si>
    <t xml:space="preserve">Central (1.7)</t>
  </si>
  <si>
    <t xml:space="preserve">Rural Wales (2.0)</t>
  </si>
  <si>
    <t xml:space="preserve">GDP impact of total investment (£m)</t>
  </si>
  <si>
    <t xml:space="preserve">Total economic activity generated</t>
  </si>
  <si>
    <t xml:space="preserve">GDP impact annualised over 15 years (£m/yr)</t>
  </si>
  <si>
    <t xml:space="preserve">Combined WW + farm programme over 15 years</t>
  </si>
  <si>
    <t xml:space="preserve">AS % OF WELSH GDP (annualised)</t>
  </si>
  <si>
    <t xml:space="preserve">Peak year construction jobs (direct)</t>
  </si>
  <si>
    <t xml:space="preserve">Direct jobs same; multiplier affects total</t>
  </si>
  <si>
    <t xml:space="preserve">Peak year total jobs supported</t>
  </si>
  <si>
    <t xml:space="preserve">Permanent operational jobs (direct)</t>
  </si>
  <si>
    <t xml:space="preserve">Permanent total jobs supported</t>
  </si>
  <si>
    <t xml:space="preserve">VALUE CHAIN — WHERE THE MONEY GOES</t>
  </si>
  <si>
    <t xml:space="preserve">ROUND 1: Direct investment</t>
  </si>
  <si>
    <t xml:space="preserve">Construction, equipment, installation</t>
  </si>
  <si>
    <t xml:space="preserve">  Capital spend retained in Wales (£m)</t>
  </si>
  <si>
    <t xml:space="preserve">ROUND 2: Supply chain (indirect)</t>
  </si>
  <si>
    <t xml:space="preserve">Concrete, steel, pipe, electrical, engineering consultants</t>
  </si>
  <si>
    <t xml:space="preserve">  Estimated Welsh supply chain value (£m)</t>
  </si>
  <si>
    <t xml:space="preserve">Est: 35% of local spend goes to Welsh suppliers of suppliers</t>
  </si>
  <si>
    <t xml:space="preserve">ROUND 3: Wage spend (induced)</t>
  </si>
  <si>
    <t xml:space="preserve">Workers spend locally: shops, housing, services</t>
  </si>
  <si>
    <t xml:space="preserve">  Total construction wages over programme (£m)</t>
  </si>
  <si>
    <t xml:space="preserve">  Permanent annual wage bill (£m/year)</t>
  </si>
  <si>
    <t xml:space="preserve">ROUND 4: Fiscal return</t>
  </si>
  <si>
    <t xml:space="preserve">Tax, NI, reduced benefits, business rates, VAT</t>
  </si>
  <si>
    <t xml:space="preserve">  Annual tax &amp; NI from all jobs (£m/year)</t>
  </si>
  <si>
    <t xml:space="preserve">  Annual pension contributions (£m/year)</t>
  </si>
  <si>
    <t xml:space="preserve">ROUND 5: Secondary economic effects</t>
  </si>
  <si>
    <t xml:space="preserve">These are real but harder to quantify precisely</t>
  </si>
  <si>
    <t xml:space="preserve">  Lower customer bills → more disposable income</t>
  </si>
  <si>
    <t xml:space="preserve">  Farm supplementary income (£m/year at full build)</t>
  </si>
  <si>
    <t xml:space="preserve">  Tourism benefit from cleaner beaches</t>
  </si>
  <si>
    <t xml:space="preserve">Not quantified</t>
  </si>
  <si>
    <t xml:space="preserve">Significant but requires specific coastal tourism study</t>
  </si>
  <si>
    <t xml:space="preserve">  Fisheries/shellfish improvement</t>
  </si>
  <si>
    <t xml:space="preserve">ROUND 6: Avoided costs</t>
  </si>
  <si>
    <t xml:space="preserve">  Ofwat fines avoided (recent: £40m penalty)</t>
  </si>
  <si>
    <t xml:space="preserve">Welsh Water fined £40m in 2024. Future fines likely without investment</t>
  </si>
  <si>
    <t xml:space="preserve">  Environmental remediation avoided</t>
  </si>
  <si>
    <t xml:space="preserve">  Public health costs avoided</t>
  </si>
  <si>
    <t xml:space="preserve">THE HEADLINE</t>
  </si>
  <si>
    <t xml:space="preserve">Boost to Welsh GDP (annualised, central estimate)</t>
  </si>
  <si>
    <t xml:space="preserve">As percentage of Welsh GDP</t>
  </si>
  <si>
    <t xml:space="preserve">Or to put it another way:</t>
  </si>
  <si>
    <t xml:space="preserve">"Welsh Water could pay every household 25p a week, create hundreds of permanent Welsh jobs, and clean up your swimming water — just by turning waste into energy. No subsidy. No dividends leaving Wales. Why isn't this happening?"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</si>
</sst>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"/>
    <numFmt numFmtId="166" formatCode="\£#,##0"/>
    <numFmt numFmtId="167" formatCode="0.0%"/>
    <numFmt numFmtId="168" formatCode="0.0"/>
    <numFmt numFmtId="169" formatCode="\£#,##0.0\m"/>
    <numFmt numFmtId="170" formatCode="0.00%"/>
    <numFmt numFmtId="171" formatCode="\£#,##0\m"/>
    <numFmt numFmtId="172" formatCode="#,##0&quot; tDS/yr&quot;"/>
    <numFmt numFmtId="173" formatCode="\£#,##0"/>
    <numFmt numFmtId="174" formatCode="#,##0&quot; years&quot;"/>
    <numFmt numFmtId="175" formatCode="\£#,##0.0&quot;m/yr&quot;"/>
    <numFmt numFmtId="176" formatCode="\£#,##0&quot;m/yr&quot;"/>
    <numFmt numFmtId="177" formatCode="#,##0.0"/>
    <numFmt numFmtId="178" formatCode="\£#,##0.0\m"/>
    <numFmt numFmtId="179" formatCode="\£#,##0&quot; per household/yr&quot;"/>
    <numFmt numFmtId="180" formatCode="\£#,##0&quot;m/year&quot;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B3A4B"/>
      <name val="Arial"/>
      <family val="0"/>
      <charset val="1"/>
    </font>
    <font>
      <i val="true"/>
      <sz val="14"/>
      <color rgb="FF1B3A4B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3"/>
      <color rgb="FF2E5E4E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2E7D32"/>
      <name val="Arial"/>
      <family val="0"/>
      <charset val="1"/>
    </font>
    <font>
      <b val="true"/>
      <sz val="11"/>
      <color rgb="FFCC0000"/>
      <name val="Arial"/>
      <family val="0"/>
      <charset val="1"/>
    </font>
    <font>
      <b val="true"/>
      <sz val="12"/>
      <color rgb="FF00695C"/>
      <name val="Arial"/>
      <family val="0"/>
      <charset val="1"/>
    </font>
    <font>
      <b val="true"/>
      <sz val="11"/>
      <color rgb="FFB8860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3"/>
      <color rgb="FFCC0000"/>
      <name val="Arial"/>
      <family val="0"/>
      <charset val="1"/>
    </font>
    <font>
      <b val="true"/>
      <sz val="13"/>
      <color rgb="FFB8860B"/>
      <name val="Arial"/>
      <family val="0"/>
      <charset val="1"/>
    </font>
    <font>
      <b val="true"/>
      <sz val="16"/>
      <color rgb="FF1B3A4B"/>
      <name val="Arial"/>
      <family val="0"/>
      <charset val="1"/>
    </font>
    <font>
      <i val="true"/>
      <sz val="13"/>
      <color rgb="FF1B3A4B"/>
      <name val="Arial"/>
      <family val="0"/>
      <charset val="1"/>
    </font>
    <font>
      <sz val="13"/>
      <color rgb="FF555555"/>
      <name val="Arial"/>
      <family val="0"/>
      <charset val="1"/>
    </font>
    <font>
      <b val="true"/>
      <sz val="14"/>
      <color rgb="FF2E5E4E"/>
      <name val="Arial"/>
      <family val="0"/>
      <charset val="1"/>
    </font>
    <font>
      <b val="true"/>
      <sz val="11"/>
      <color rgb="FF1B3A4B"/>
      <name val="Arial"/>
      <family val="0"/>
      <charset val="1"/>
    </font>
    <font>
      <b val="true"/>
      <sz val="11"/>
      <color rgb="FF2E5E4E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4"/>
      <color rgb="FF1B3A4B"/>
      <name val="Arial"/>
      <family val="0"/>
      <charset val="1"/>
    </font>
    <font>
      <b val="true"/>
      <sz val="12"/>
      <color rgb="FF2E5E4E"/>
      <name val="Arial"/>
      <family val="0"/>
      <charset val="1"/>
    </font>
    <font>
      <b val="true"/>
      <sz val="16"/>
      <color rgb="FF2E5E4E"/>
      <name val="Arial"/>
      <family val="0"/>
      <charset val="1"/>
    </font>
    <font>
      <i val="true"/>
      <sz val="12"/>
      <color rgb="FF1B3A4B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E8F0E8"/>
        <bgColor rgb="FFE8F5E8"/>
      </patternFill>
    </fill>
    <fill>
      <patternFill patternType="solid">
        <fgColor rgb="FFFFF2CC"/>
        <bgColor rgb="FFFFF8E1"/>
      </patternFill>
    </fill>
    <fill>
      <patternFill patternType="solid">
        <fgColor rgb="FF1B3A4B"/>
        <bgColor rgb="FF003366"/>
      </patternFill>
    </fill>
    <fill>
      <patternFill patternType="solid">
        <fgColor rgb="FFE8F5E8"/>
        <bgColor rgb="FFE8F0E8"/>
      </patternFill>
    </fill>
    <fill>
      <patternFill patternType="solid">
        <fgColor rgb="FFFDE8E8"/>
        <bgColor rgb="FFF5F5F5"/>
      </patternFill>
    </fill>
    <fill>
      <patternFill patternType="solid">
        <fgColor rgb="FFE0F2F1"/>
        <bgColor rgb="FFE8F0E8"/>
      </patternFill>
    </fill>
    <fill>
      <patternFill patternType="solid">
        <fgColor rgb="FFFFF8E1"/>
        <bgColor rgb="FFFFF2CC"/>
      </patternFill>
    </fill>
    <fill>
      <patternFill patternType="solid">
        <fgColor rgb="FFD5E8D4"/>
        <bgColor rgb="FFE0F2F1"/>
      </patternFill>
    </fill>
    <fill>
      <patternFill patternType="solid">
        <fgColor rgb="FFF5F5F5"/>
        <bgColor rgb="FFF5F8FC"/>
      </patternFill>
    </fill>
    <fill>
      <patternFill patternType="solid">
        <fgColor rgb="FFF5F8FC"/>
        <bgColor rgb="FFF5F5F5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8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8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695C"/>
      <rgbColor rgb="FFF5F5F5"/>
      <rgbColor rgb="FF888888"/>
      <rgbColor rgb="FF9999FF"/>
      <rgbColor rgb="FF993366"/>
      <rgbColor rgb="FFFFF8E1"/>
      <rgbColor rgb="FFE0F2F1"/>
      <rgbColor rgb="FF660066"/>
      <rgbColor rgb="FFFF8080"/>
      <rgbColor rgb="FF0066CC"/>
      <rgbColor rgb="FFE8F0E8"/>
      <rgbColor rgb="FF000080"/>
      <rgbColor rgb="FFFF00FF"/>
      <rgbColor rgb="FFFFFF00"/>
      <rgbColor rgb="FF00FFFF"/>
      <rgbColor rgb="FF800080"/>
      <rgbColor rgb="FF800000"/>
      <rgbColor rgb="FF2E5E4E"/>
      <rgbColor rgb="FF0000FF"/>
      <rgbColor rgb="FF00CCFF"/>
      <rgbColor rgb="FFE8F5E8"/>
      <rgbColor rgb="FFD5E8D4"/>
      <rgbColor rgb="FFFFF2CC"/>
      <rgbColor rgb="FFF5F8FC"/>
      <rgbColor rgb="FFFF99CC"/>
      <rgbColor rgb="FFCC99FF"/>
      <rgbColor rgb="FFFDE8E8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2E7D32"/>
      <rgbColor rgb="FF003300"/>
      <rgbColor rgb="FF333300"/>
      <rgbColor rgb="FF993300"/>
      <rgbColor rgb="FF993366"/>
      <rgbColor rgb="FF555555"/>
      <rgbColor rgb="FF1B3A4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8"/>
    <col collapsed="false" customWidth="true" hidden="false" outlineLevel="0" max="6" min="3" style="0" width="22"/>
    <col collapsed="false" customWidth="true" hidden="false" outlineLevel="0" max="7" min="7" style="0" width="50"/>
  </cols>
  <sheetData>
    <row r="2" customFormat="false" ht="26.8" hidden="false" customHeight="false" outlineLevel="0" collapsed="false">
      <c r="B2" s="1" t="s">
        <v>0</v>
      </c>
    </row>
    <row r="3" customFormat="false" ht="17.3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3" t="s">
        <v>3</v>
      </c>
    </row>
    <row r="7" customFormat="false" ht="15" hidden="false" customHeight="false" outlineLevel="0" collapsed="false">
      <c r="B7" s="4" t="s">
        <v>4</v>
      </c>
    </row>
    <row r="9" customFormat="false" ht="16.15" hidden="false" customHeight="false" outlineLevel="0" collapsed="false">
      <c r="B9" s="5" t="s">
        <v>5</v>
      </c>
      <c r="C9" s="6"/>
      <c r="D9" s="6"/>
      <c r="E9" s="6"/>
      <c r="F9" s="6"/>
      <c r="G9" s="6"/>
    </row>
    <row r="10" customFormat="false" ht="15" hidden="false" customHeight="false" outlineLevel="0" collapsed="false">
      <c r="B10" s="3" t="s">
        <v>6</v>
      </c>
      <c r="C10" s="7" t="n">
        <v>1500000</v>
      </c>
      <c r="G10" s="4" t="s">
        <v>7</v>
      </c>
    </row>
    <row r="11" customFormat="false" ht="15" hidden="false" customHeight="false" outlineLevel="0" collapsed="false">
      <c r="B11" s="3" t="s">
        <v>8</v>
      </c>
      <c r="C11" s="7" t="n">
        <v>65000</v>
      </c>
      <c r="G11" s="4" t="s">
        <v>9</v>
      </c>
    </row>
    <row r="12" customFormat="false" ht="15" hidden="false" customHeight="false" outlineLevel="0" collapsed="false">
      <c r="B12" s="3" t="s">
        <v>10</v>
      </c>
      <c r="C12" s="8" t="n">
        <v>78000</v>
      </c>
      <c r="G12" s="4" t="s">
        <v>11</v>
      </c>
    </row>
    <row r="13" customFormat="false" ht="15" hidden="false" customHeight="false" outlineLevel="0" collapsed="false">
      <c r="B13" s="3" t="s">
        <v>12</v>
      </c>
      <c r="C13" s="8" t="n">
        <v>12500</v>
      </c>
      <c r="G13" s="4" t="s">
        <v>13</v>
      </c>
    </row>
    <row r="14" customFormat="false" ht="15" hidden="false" customHeight="false" outlineLevel="0" collapsed="false">
      <c r="B14" s="3" t="s">
        <v>14</v>
      </c>
      <c r="C14" s="8" t="n">
        <v>33000</v>
      </c>
      <c r="G14" s="4" t="s">
        <v>15</v>
      </c>
    </row>
    <row r="15" customFormat="false" ht="15" hidden="false" customHeight="false" outlineLevel="0" collapsed="false">
      <c r="B15" s="3" t="s">
        <v>16</v>
      </c>
      <c r="C15" s="9" t="n">
        <v>0.3</v>
      </c>
      <c r="G15" s="4" t="s">
        <v>17</v>
      </c>
    </row>
    <row r="16" customFormat="false" ht="15" hidden="false" customHeight="false" outlineLevel="0" collapsed="false">
      <c r="B16" s="3" t="s">
        <v>18</v>
      </c>
      <c r="C16" s="9" t="n">
        <v>0.08</v>
      </c>
    </row>
    <row r="17" customFormat="false" ht="15" hidden="false" customHeight="false" outlineLevel="0" collapsed="false">
      <c r="B17" s="3" t="s">
        <v>19</v>
      </c>
      <c r="C17" s="10" t="n">
        <v>1.7</v>
      </c>
    </row>
    <row r="18" customFormat="false" ht="15" hidden="false" customHeight="false" outlineLevel="0" collapsed="false">
      <c r="B18" s="3" t="s">
        <v>20</v>
      </c>
      <c r="C18" s="11" t="n">
        <f aca="false">'Employment &amp; GDP Impact'!B41</f>
        <v>1400.375</v>
      </c>
      <c r="G18" s="4" t="s">
        <v>21</v>
      </c>
    </row>
    <row r="20" customFormat="false" ht="16.15" hidden="false" customHeight="false" outlineLevel="0" collapsed="false">
      <c r="B20" s="5" t="s">
        <v>22</v>
      </c>
      <c r="C20" s="6"/>
      <c r="D20" s="6"/>
      <c r="E20" s="6"/>
      <c r="F20" s="6"/>
      <c r="G20" s="6"/>
    </row>
    <row r="21" customFormat="false" ht="15" hidden="false" customHeight="false" outlineLevel="0" collapsed="false">
      <c r="B21" s="12"/>
      <c r="C21" s="12" t="s">
        <v>23</v>
      </c>
      <c r="D21" s="12" t="s">
        <v>24</v>
      </c>
      <c r="E21" s="12"/>
      <c r="F21" s="12" t="s">
        <v>25</v>
      </c>
      <c r="G21" s="12"/>
    </row>
    <row r="22" customFormat="false" ht="15" hidden="false" customHeight="false" outlineLevel="0" collapsed="false">
      <c r="B22" s="3" t="s">
        <v>26</v>
      </c>
      <c r="C22" s="13" t="n">
        <v>46</v>
      </c>
      <c r="D22" s="14" t="n">
        <v>10</v>
      </c>
      <c r="F22" s="15" t="n">
        <f aca="false">C22-D22</f>
        <v>36</v>
      </c>
      <c r="G22" s="4" t="s">
        <v>27</v>
      </c>
    </row>
    <row r="23" customFormat="false" ht="15" hidden="false" customHeight="false" outlineLevel="0" collapsed="false">
      <c r="B23" s="3" t="s">
        <v>28</v>
      </c>
      <c r="C23" s="13" t="n">
        <v>25</v>
      </c>
      <c r="D23" s="14" t="n">
        <v>0</v>
      </c>
      <c r="F23" s="15" t="n">
        <f aca="false">C23-D23</f>
        <v>25</v>
      </c>
      <c r="G23" s="4" t="s">
        <v>29</v>
      </c>
    </row>
    <row r="24" customFormat="false" ht="15" hidden="false" customHeight="false" outlineLevel="0" collapsed="false">
      <c r="B24" s="3" t="s">
        <v>30</v>
      </c>
      <c r="C24" s="13" t="n">
        <v>30</v>
      </c>
      <c r="D24" s="14" t="n">
        <v>0</v>
      </c>
      <c r="F24" s="15" t="n">
        <f aca="false">C24-D24</f>
        <v>30</v>
      </c>
      <c r="G24" s="4" t="s">
        <v>31</v>
      </c>
    </row>
    <row r="25" customFormat="false" ht="15" hidden="false" customHeight="false" outlineLevel="0" collapsed="false">
      <c r="B25" s="3" t="s">
        <v>32</v>
      </c>
      <c r="C25" s="13" t="n">
        <v>35</v>
      </c>
      <c r="D25" s="14" t="n">
        <v>5</v>
      </c>
      <c r="F25" s="15" t="n">
        <f aca="false">C25-D25</f>
        <v>30</v>
      </c>
      <c r="G25" s="4" t="s">
        <v>33</v>
      </c>
    </row>
    <row r="26" customFormat="false" ht="15" hidden="false" customHeight="false" outlineLevel="0" collapsed="false">
      <c r="B26" s="3" t="s">
        <v>34</v>
      </c>
      <c r="C26" s="16" t="n">
        <f aca="false">C18/C17*C13/1000000</f>
        <v>10.296875</v>
      </c>
      <c r="D26" s="14" t="n">
        <v>0</v>
      </c>
      <c r="F26" s="15" t="n">
        <f aca="false">C26-D26</f>
        <v>10.296875</v>
      </c>
      <c r="G26" s="4" t="s">
        <v>35</v>
      </c>
    </row>
    <row r="27" customFormat="false" ht="15" hidden="false" customHeight="false" outlineLevel="0" collapsed="false">
      <c r="B27" s="3" t="s">
        <v>36</v>
      </c>
      <c r="C27" s="13" t="n">
        <v>8</v>
      </c>
      <c r="D27" s="14" t="n">
        <v>0</v>
      </c>
      <c r="F27" s="15" t="n">
        <f aca="false">C27-D27</f>
        <v>8</v>
      </c>
      <c r="G27" s="4" t="s">
        <v>37</v>
      </c>
    </row>
    <row r="28" customFormat="false" ht="15" hidden="false" customHeight="false" outlineLevel="0" collapsed="false">
      <c r="B28" s="3" t="s">
        <v>38</v>
      </c>
      <c r="C28" s="13" t="n">
        <v>5</v>
      </c>
      <c r="D28" s="14" t="n">
        <v>0</v>
      </c>
      <c r="F28" s="15" t="n">
        <f aca="false">C28-D28</f>
        <v>5</v>
      </c>
      <c r="G28" s="4" t="s">
        <v>39</v>
      </c>
    </row>
    <row r="29" customFormat="false" ht="15" hidden="false" customHeight="false" outlineLevel="0" collapsed="false">
      <c r="B29" s="3" t="s">
        <v>40</v>
      </c>
      <c r="C29" s="13" t="n">
        <v>4</v>
      </c>
      <c r="D29" s="14" t="n">
        <v>1</v>
      </c>
      <c r="F29" s="15" t="n">
        <f aca="false">C29-D29</f>
        <v>3</v>
      </c>
      <c r="G29" s="4" t="s">
        <v>41</v>
      </c>
    </row>
    <row r="30" customFormat="false" ht="15" hidden="false" customHeight="false" outlineLevel="0" collapsed="false">
      <c r="B30" s="17" t="s">
        <v>42</v>
      </c>
      <c r="C30" s="18"/>
      <c r="D30" s="18"/>
      <c r="E30" s="18"/>
      <c r="F30" s="19" t="n">
        <f aca="false">SUM(F22:F29)</f>
        <v>147.296875</v>
      </c>
      <c r="G30" s="18"/>
    </row>
    <row r="32" customFormat="false" ht="16.15" hidden="false" customHeight="false" outlineLevel="0" collapsed="false">
      <c r="B32" s="5" t="s">
        <v>43</v>
      </c>
      <c r="C32" s="6"/>
      <c r="D32" s="6"/>
      <c r="E32" s="6"/>
      <c r="F32" s="6"/>
      <c r="G32" s="6"/>
    </row>
    <row r="33" customFormat="false" ht="15" hidden="false" customHeight="false" outlineLevel="0" collapsed="false">
      <c r="B33" s="12"/>
      <c r="C33" s="12" t="s">
        <v>44</v>
      </c>
      <c r="D33" s="12"/>
      <c r="E33" s="12" t="s">
        <v>45</v>
      </c>
      <c r="F33" s="12" t="s">
        <v>25</v>
      </c>
      <c r="G33" s="12"/>
    </row>
    <row r="34" customFormat="false" ht="15" hidden="false" customHeight="false" outlineLevel="0" collapsed="false">
      <c r="B34" s="3" t="s">
        <v>46</v>
      </c>
      <c r="C34" s="20" t="n">
        <v>0</v>
      </c>
      <c r="E34" s="21" t="n">
        <f aca="false">'Investment &amp; Returns'!B16</f>
        <v>0.0083586168</v>
      </c>
      <c r="F34" s="22" t="n">
        <f aca="false">E34</f>
        <v>0.0083586168</v>
      </c>
      <c r="G34" s="4" t="s">
        <v>47</v>
      </c>
    </row>
    <row r="35" customFormat="false" ht="15" hidden="false" customHeight="false" outlineLevel="0" collapsed="false">
      <c r="B35" s="3" t="s">
        <v>48</v>
      </c>
      <c r="C35" s="20" t="n">
        <v>0</v>
      </c>
      <c r="E35" s="13" t="n">
        <v>15</v>
      </c>
      <c r="F35" s="22" t="n">
        <f aca="false">E35</f>
        <v>15</v>
      </c>
      <c r="G35" s="4" t="s">
        <v>49</v>
      </c>
    </row>
    <row r="36" customFormat="false" ht="15" hidden="false" customHeight="false" outlineLevel="0" collapsed="false">
      <c r="B36" s="3" t="s">
        <v>50</v>
      </c>
      <c r="C36" s="20" t="n">
        <v>0</v>
      </c>
      <c r="E36" s="21" t="n">
        <f aca="false">'Employment &amp; GDP Impact'!B25</f>
        <v>50.625</v>
      </c>
      <c r="F36" s="22" t="n">
        <f aca="false">E36</f>
        <v>50.625</v>
      </c>
      <c r="G36" s="4" t="s">
        <v>51</v>
      </c>
    </row>
    <row r="37" customFormat="false" ht="15" hidden="false" customHeight="false" outlineLevel="0" collapsed="false">
      <c r="B37" s="3" t="s">
        <v>52</v>
      </c>
      <c r="C37" s="20" t="n">
        <v>0</v>
      </c>
      <c r="E37" s="21" t="n">
        <f aca="false">'Investment &amp; Returns'!B18</f>
        <v>2.37615</v>
      </c>
      <c r="F37" s="22" t="n">
        <f aca="false">E37</f>
        <v>2.37615</v>
      </c>
      <c r="G37" s="4" t="s">
        <v>47</v>
      </c>
    </row>
    <row r="38" customFormat="false" ht="15" hidden="false" customHeight="false" outlineLevel="0" collapsed="false">
      <c r="B38" s="3" t="s">
        <v>53</v>
      </c>
      <c r="C38" s="20" t="n">
        <v>0</v>
      </c>
      <c r="E38" s="13" t="n">
        <v>8</v>
      </c>
      <c r="F38" s="22" t="n">
        <f aca="false">E38</f>
        <v>8</v>
      </c>
      <c r="G38" s="4" t="s">
        <v>54</v>
      </c>
    </row>
    <row r="39" customFormat="false" ht="15" hidden="false" customHeight="false" outlineLevel="0" collapsed="false">
      <c r="B39" s="3" t="s">
        <v>55</v>
      </c>
      <c r="C39" s="20" t="n">
        <v>0</v>
      </c>
      <c r="E39" s="13" t="n">
        <v>10</v>
      </c>
      <c r="F39" s="22" t="n">
        <f aca="false">E39</f>
        <v>10</v>
      </c>
      <c r="G39" s="4" t="s">
        <v>56</v>
      </c>
    </row>
    <row r="40" customFormat="false" ht="15" hidden="false" customHeight="false" outlineLevel="0" collapsed="false">
      <c r="B40" s="3" t="s">
        <v>57</v>
      </c>
      <c r="C40" s="20" t="n">
        <v>0</v>
      </c>
      <c r="E40" s="13" t="n">
        <v>50</v>
      </c>
      <c r="F40" s="22" t="n">
        <f aca="false">E40</f>
        <v>50</v>
      </c>
      <c r="G40" s="4" t="s">
        <v>58</v>
      </c>
    </row>
    <row r="41" customFormat="false" ht="15" hidden="false" customHeight="false" outlineLevel="0" collapsed="false">
      <c r="B41" s="3" t="s">
        <v>59</v>
      </c>
      <c r="C41" s="20" t="n">
        <v>0</v>
      </c>
      <c r="E41" s="21" t="n">
        <f aca="false">C18/C17*C14*C15/1000000</f>
        <v>8.155125</v>
      </c>
      <c r="F41" s="22" t="n">
        <f aca="false">E41</f>
        <v>8.155125</v>
      </c>
      <c r="G41" s="4" t="s">
        <v>60</v>
      </c>
    </row>
    <row r="42" customFormat="false" ht="15" hidden="false" customHeight="false" outlineLevel="0" collapsed="false">
      <c r="B42" s="3" t="s">
        <v>61</v>
      </c>
      <c r="C42" s="20" t="n">
        <v>0</v>
      </c>
      <c r="E42" s="21" t="n">
        <f aca="false">C18/C17*C14*C16/1000000</f>
        <v>2.1747</v>
      </c>
      <c r="F42" s="22" t="n">
        <f aca="false">E42</f>
        <v>2.1747</v>
      </c>
      <c r="G42" s="4" t="s">
        <v>62</v>
      </c>
    </row>
    <row r="43" customFormat="false" ht="15" hidden="false" customHeight="false" outlineLevel="0" collapsed="false">
      <c r="B43" s="17" t="s">
        <v>63</v>
      </c>
      <c r="C43" s="18"/>
      <c r="D43" s="18"/>
      <c r="E43" s="18"/>
      <c r="F43" s="19" t="n">
        <f aca="false">SUM(F34:F42)</f>
        <v>146.3393336168</v>
      </c>
      <c r="G43" s="18"/>
    </row>
    <row r="45" customFormat="false" ht="16.15" hidden="false" customHeight="false" outlineLevel="0" collapsed="false">
      <c r="B45" s="5" t="s">
        <v>64</v>
      </c>
      <c r="C45" s="6"/>
      <c r="D45" s="6"/>
      <c r="E45" s="6"/>
      <c r="F45" s="6"/>
      <c r="G45" s="6"/>
    </row>
    <row r="46" customFormat="false" ht="15" hidden="false" customHeight="false" outlineLevel="0" collapsed="false">
      <c r="B46" s="3" t="s">
        <v>65</v>
      </c>
      <c r="C46" s="20" t="n">
        <f aca="false">C18/C17*C14/1000000</f>
        <v>27.18375</v>
      </c>
    </row>
    <row r="47" customFormat="false" ht="15" hidden="false" customHeight="false" outlineLevel="0" collapsed="false">
      <c r="B47" s="3" t="s">
        <v>66</v>
      </c>
      <c r="C47" s="20" t="n">
        <f aca="false">'Phased Works Investment'!H11*0.6/10+'Employment &amp; GDP Impact'!B21*0.8</f>
        <v>128.427</v>
      </c>
      <c r="G47" s="4" t="s">
        <v>67</v>
      </c>
    </row>
    <row r="48" customFormat="false" ht="15" hidden="false" customHeight="false" outlineLevel="0" collapsed="false">
      <c r="B48" s="3" t="s">
        <v>68</v>
      </c>
      <c r="C48" s="20" t="n">
        <f aca="false">C46*0.7</f>
        <v>19.028625</v>
      </c>
      <c r="G48" s="4" t="s">
        <v>69</v>
      </c>
    </row>
    <row r="49" customFormat="false" ht="15" hidden="false" customHeight="false" outlineLevel="0" collapsed="false">
      <c r="B49" s="3" t="s">
        <v>70</v>
      </c>
      <c r="C49" s="20" t="n">
        <f aca="false">C48*0.2</f>
        <v>3.805725</v>
      </c>
    </row>
    <row r="50" customFormat="false" ht="15" hidden="false" customHeight="false" outlineLevel="0" collapsed="false">
      <c r="B50" s="3" t="s">
        <v>71</v>
      </c>
      <c r="C50" s="23" t="n">
        <f aca="false">C48/C14*1000000</f>
        <v>576.625</v>
      </c>
      <c r="G50" s="4" t="s">
        <v>72</v>
      </c>
    </row>
    <row r="52" customFormat="false" ht="17.35" hidden="false" customHeight="false" outlineLevel="0" collapsed="false">
      <c r="B52" s="24" t="s">
        <v>73</v>
      </c>
      <c r="C52" s="25"/>
      <c r="D52" s="25"/>
      <c r="E52" s="25"/>
      <c r="F52" s="25"/>
      <c r="G52" s="25"/>
    </row>
    <row r="53" customFormat="false" ht="16.15" hidden="false" customHeight="false" outlineLevel="0" collapsed="false">
      <c r="B53" s="26" t="s">
        <v>74</v>
      </c>
      <c r="C53" s="27" t="n">
        <f aca="false">F30</f>
        <v>147.296875</v>
      </c>
    </row>
    <row r="54" customFormat="false" ht="16.15" hidden="false" customHeight="false" outlineLevel="0" collapsed="false">
      <c r="B54" s="28" t="s">
        <v>75</v>
      </c>
      <c r="C54" s="29" t="n">
        <f aca="false">F43</f>
        <v>146.3393336168</v>
      </c>
    </row>
    <row r="55" customFormat="false" ht="19.7" hidden="false" customHeight="false" outlineLevel="0" collapsed="false">
      <c r="B55" s="30" t="s">
        <v>76</v>
      </c>
      <c r="C55" s="31" t="n">
        <f aca="false">C53+C54</f>
        <v>293.6362086168</v>
      </c>
      <c r="D55" s="32"/>
      <c r="E55" s="32"/>
      <c r="F55" s="32"/>
      <c r="G55" s="32"/>
    </row>
    <row r="56" customFormat="false" ht="19.7" hidden="false" customHeight="false" outlineLevel="0" collapsed="false">
      <c r="B56" s="30" t="s">
        <v>77</v>
      </c>
      <c r="C56" s="33" t="n">
        <f aca="false">C55/C12</f>
        <v>0.00376456677713846</v>
      </c>
      <c r="D56" s="32"/>
      <c r="E56" s="32"/>
      <c r="F56" s="32"/>
      <c r="G56" s="32"/>
    </row>
    <row r="58" customFormat="false" ht="16.15" hidden="false" customHeight="false" outlineLevel="0" collapsed="false">
      <c r="B58" s="5" t="s">
        <v>78</v>
      </c>
      <c r="C58" s="6"/>
      <c r="D58" s="6"/>
      <c r="E58" s="6"/>
      <c r="F58" s="6"/>
      <c r="G58" s="6"/>
    </row>
    <row r="59" customFormat="false" ht="15" hidden="false" customHeight="false" outlineLevel="0" collapsed="false">
      <c r="B59" s="34" t="s">
        <v>79</v>
      </c>
    </row>
    <row r="60" customFormat="false" ht="15" hidden="false" customHeight="false" outlineLevel="0" collapsed="false">
      <c r="B60" s="3" t="s">
        <v>80</v>
      </c>
    </row>
    <row r="61" customFormat="false" ht="15" hidden="false" customHeight="false" outlineLevel="0" collapsed="false">
      <c r="B61" s="3" t="s">
        <v>81</v>
      </c>
    </row>
    <row r="62" customFormat="false" ht="15" hidden="false" customHeight="false" outlineLevel="0" collapsed="false">
      <c r="B62" s="3" t="s">
        <v>82</v>
      </c>
    </row>
    <row r="63" customFormat="false" ht="15" hidden="false" customHeight="false" outlineLevel="0" collapsed="false">
      <c r="B63" s="3" t="s">
        <v>83</v>
      </c>
    </row>
    <row r="64" customFormat="false" ht="15" hidden="false" customHeight="false" outlineLevel="0" collapsed="false">
      <c r="B64" s="3" t="s">
        <v>84</v>
      </c>
    </row>
    <row r="65" customFormat="false" ht="15" hidden="false" customHeight="false" outlineLevel="0" collapsed="false">
      <c r="B65" s="3" t="s">
        <v>85</v>
      </c>
    </row>
    <row r="67" customFormat="false" ht="16.15" hidden="false" customHeight="false" outlineLevel="0" collapsed="false">
      <c r="B67" s="26" t="s">
        <v>86</v>
      </c>
    </row>
    <row r="69" customFormat="false" ht="16.15" hidden="false" customHeight="false" outlineLevel="0" collapsed="false">
      <c r="B69" s="5" t="s">
        <v>87</v>
      </c>
      <c r="C69" s="6"/>
      <c r="D69" s="6"/>
      <c r="E69" s="6"/>
      <c r="F69" s="6"/>
      <c r="G69" s="6"/>
    </row>
    <row r="70" customFormat="false" ht="15" hidden="false" customHeight="false" outlineLevel="0" collapsed="false">
      <c r="B70" s="3" t="s">
        <v>88</v>
      </c>
      <c r="C70" s="11" t="n">
        <f aca="false">C11</f>
        <v>65000</v>
      </c>
    </row>
    <row r="71" customFormat="false" ht="15" hidden="false" customHeight="false" outlineLevel="0" collapsed="false">
      <c r="B71" s="3" t="s">
        <v>89</v>
      </c>
      <c r="C71" s="11" t="n">
        <f aca="false">C18</f>
        <v>1400.375</v>
      </c>
    </row>
    <row r="72" customFormat="false" ht="19.7" hidden="false" customHeight="false" outlineLevel="0" collapsed="false">
      <c r="B72" s="30" t="s">
        <v>90</v>
      </c>
      <c r="C72" s="35" t="n">
        <f aca="false">C71/C70</f>
        <v>0.0215442307692308</v>
      </c>
      <c r="D72" s="32"/>
      <c r="E72" s="32"/>
      <c r="F72" s="32"/>
      <c r="G72" s="32"/>
    </row>
    <row r="73" customFormat="false" ht="15" hidden="false" customHeight="false" outlineLevel="0" collapsed="false">
      <c r="B73" s="4" t="s">
        <v>91</v>
      </c>
    </row>
    <row r="74" customFormat="false" ht="15" hidden="false" customHeight="false" outlineLevel="0" collapsed="false">
      <c r="B74" s="3" t="s">
        <v>92</v>
      </c>
      <c r="C74" s="36" t="n">
        <f aca="false">C13+C14*C15</f>
        <v>22400</v>
      </c>
      <c r="G74" s="4" t="s">
        <v>93</v>
      </c>
    </row>
    <row r="76" customFormat="false" ht="15" hidden="false" customHeight="false" outlineLevel="0" collapsed="false">
      <c r="B76" s="25"/>
      <c r="C76" s="25"/>
      <c r="D76" s="25"/>
      <c r="E76" s="25"/>
      <c r="F76" s="25"/>
      <c r="G76" s="25"/>
    </row>
    <row r="77" customFormat="false" ht="16.15" hidden="false" customHeight="false" outlineLevel="0" collapsed="false">
      <c r="B77" s="37" t="s">
        <v>94</v>
      </c>
      <c r="C77" s="38"/>
      <c r="D77" s="38"/>
      <c r="E77" s="38"/>
      <c r="F77" s="38"/>
      <c r="G77" s="38"/>
    </row>
    <row r="78" customFormat="false" ht="16.15" hidden="false" customHeight="false" outlineLevel="0" collapsed="false">
      <c r="B78" s="37" t="s">
        <v>95</v>
      </c>
      <c r="C78" s="38"/>
      <c r="D78" s="38"/>
      <c r="E78" s="38"/>
      <c r="F78" s="38"/>
      <c r="G78" s="38"/>
    </row>
    <row r="79" customFormat="false" ht="16.15" hidden="false" customHeight="false" outlineLevel="0" collapsed="false">
      <c r="B79" s="37" t="s">
        <v>96</v>
      </c>
      <c r="C79" s="38"/>
      <c r="D79" s="38"/>
      <c r="E79" s="38"/>
      <c r="F79" s="38"/>
      <c r="G79" s="38"/>
    </row>
    <row r="80" customFormat="false" ht="15" hidden="false" customHeight="false" outlineLevel="0" collapsed="false">
      <c r="B80" s="25"/>
      <c r="C80" s="25"/>
      <c r="D80" s="25"/>
      <c r="E80" s="25"/>
      <c r="F80" s="25"/>
      <c r="G80" s="2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5"/>
    <col collapsed="false" customWidth="true" hidden="false" outlineLevel="0" max="2" min="2" style="39" width="55"/>
    <col collapsed="false" customWidth="true" hidden="false" outlineLevel="0" max="3" min="3" style="39" width="25"/>
    <col collapsed="false" customWidth="true" hidden="false" outlineLevel="0" max="4" min="4" style="39" width="45"/>
  </cols>
  <sheetData>
    <row r="2" customFormat="false" ht="26.25" hidden="false" customHeight="true" outlineLevel="0" collapsed="false">
      <c r="B2" s="40" t="s">
        <v>97</v>
      </c>
    </row>
    <row r="3" customFormat="false" ht="15.75" hidden="false" customHeight="true" outlineLevel="0" collapsed="false">
      <c r="B3" s="41" t="s">
        <v>98</v>
      </c>
    </row>
    <row r="5" customFormat="false" ht="17.25" hidden="false" customHeight="true" outlineLevel="0" collapsed="false">
      <c r="B5" s="42" t="s">
        <v>99</v>
      </c>
      <c r="C5" s="43"/>
      <c r="D5" s="43"/>
    </row>
    <row r="7" customFormat="false" ht="17.25" hidden="false" customHeight="true" outlineLevel="0" collapsed="false">
      <c r="B7" s="44" t="s">
        <v>100</v>
      </c>
    </row>
    <row r="8" customFormat="false" ht="17.25" hidden="false" customHeight="true" outlineLevel="0" collapsed="false">
      <c r="B8" s="44" t="s">
        <v>101</v>
      </c>
    </row>
    <row r="9" customFormat="false" ht="17.25" hidden="false" customHeight="true" outlineLevel="0" collapsed="false">
      <c r="B9" s="44" t="s">
        <v>102</v>
      </c>
    </row>
    <row r="11" customFormat="false" ht="17.25" hidden="false" customHeight="true" outlineLevel="0" collapsed="false">
      <c r="B11" s="42" t="s">
        <v>103</v>
      </c>
      <c r="C11" s="43"/>
      <c r="D11" s="43"/>
    </row>
    <row r="12" customFormat="false" ht="15" hidden="false" customHeight="true" outlineLevel="0" collapsed="false">
      <c r="B12" s="45" t="s">
        <v>104</v>
      </c>
    </row>
    <row r="13" customFormat="false" ht="15" hidden="false" customHeight="true" outlineLevel="0" collapsed="false">
      <c r="B13" s="45" t="s">
        <v>105</v>
      </c>
    </row>
    <row r="14" customFormat="false" ht="15" hidden="false" customHeight="true" outlineLevel="0" collapsed="false">
      <c r="B14" s="45" t="s">
        <v>106</v>
      </c>
    </row>
    <row r="16" customFormat="false" ht="17.25" hidden="false" customHeight="true" outlineLevel="0" collapsed="false">
      <c r="B16" s="42" t="s">
        <v>107</v>
      </c>
      <c r="C16" s="43"/>
      <c r="D16" s="43"/>
    </row>
    <row r="17" customFormat="false" ht="15" hidden="false" customHeight="true" outlineLevel="0" collapsed="false">
      <c r="B17" s="46" t="s">
        <v>108</v>
      </c>
    </row>
    <row r="19" customFormat="false" ht="15" hidden="false" customHeight="true" outlineLevel="0" collapsed="false">
      <c r="B19" s="45" t="s">
        <v>109</v>
      </c>
      <c r="C19" s="47" t="n">
        <f aca="false">Assumptions!B6</f>
        <v>3100000</v>
      </c>
      <c r="D19" s="45" t="s">
        <v>110</v>
      </c>
    </row>
    <row r="20" customFormat="false" ht="15" hidden="false" customHeight="true" outlineLevel="0" collapsed="false">
      <c r="B20" s="45" t="s">
        <v>111</v>
      </c>
      <c r="C20" s="48" t="n">
        <f aca="false">Assumptions!B8</f>
        <v>46</v>
      </c>
    </row>
    <row r="21" customFormat="false" ht="15" hidden="false" customHeight="true" outlineLevel="0" collapsed="false">
      <c r="B21" s="45" t="s">
        <v>112</v>
      </c>
      <c r="C21" s="49" t="n">
        <f aca="false">Assumptions!B9</f>
        <v>0.23</v>
      </c>
      <c r="D21" s="45" t="s">
        <v>113</v>
      </c>
    </row>
    <row r="22" customFormat="false" ht="15" hidden="false" customHeight="true" outlineLevel="0" collapsed="false">
      <c r="B22" s="45" t="s">
        <v>114</v>
      </c>
      <c r="C22" s="50" t="n">
        <f aca="false">Assumptions!B15</f>
        <v>67890</v>
      </c>
      <c r="D22" s="45" t="s">
        <v>115</v>
      </c>
    </row>
    <row r="23" customFormat="false" ht="15" hidden="false" customHeight="true" outlineLevel="0" collapsed="false">
      <c r="B23" s="45" t="s">
        <v>116</v>
      </c>
      <c r="C23" s="51" t="n">
        <f aca="false">Assumptions!B25</f>
        <v>4500</v>
      </c>
      <c r="D23" s="46" t="s">
        <v>117</v>
      </c>
    </row>
    <row r="24" customFormat="false" ht="15" hidden="false" customHeight="true" outlineLevel="0" collapsed="false">
      <c r="B24" s="45" t="s">
        <v>118</v>
      </c>
      <c r="C24" s="49" t="n">
        <f aca="false">Assumptions!B28</f>
        <v>0.045</v>
      </c>
      <c r="D24" s="46" t="s">
        <v>119</v>
      </c>
    </row>
    <row r="25" customFormat="false" ht="15" hidden="false" customHeight="true" outlineLevel="0" collapsed="false">
      <c r="B25" s="45" t="s">
        <v>120</v>
      </c>
      <c r="C25" s="49" t="n">
        <f aca="false">Assumptions!B36</f>
        <v>0.6</v>
      </c>
      <c r="D25" s="46" t="s">
        <v>121</v>
      </c>
    </row>
    <row r="26" customFormat="false" ht="15" hidden="false" customHeight="true" outlineLevel="0" collapsed="false">
      <c r="B26" s="45" t="s">
        <v>19</v>
      </c>
      <c r="C26" s="52" t="n">
        <f aca="false">Assumptions!B37</f>
        <v>1.7</v>
      </c>
      <c r="D26" s="46" t="s">
        <v>122</v>
      </c>
    </row>
    <row r="27" customFormat="false" ht="15" hidden="false" customHeight="true" outlineLevel="0" collapsed="false">
      <c r="B27" s="45" t="s">
        <v>123</v>
      </c>
      <c r="C27" s="47" t="n">
        <f aca="false">Assumptions!B33</f>
        <v>12</v>
      </c>
      <c r="D27" s="46" t="s">
        <v>124</v>
      </c>
    </row>
    <row r="28" customFormat="false" ht="15" hidden="false" customHeight="true" outlineLevel="0" collapsed="false">
      <c r="B28" s="45" t="s">
        <v>125</v>
      </c>
      <c r="C28" s="53" t="n">
        <f aca="false">Assumptions!B27</f>
        <v>35</v>
      </c>
      <c r="D28" s="46" t="s">
        <v>126</v>
      </c>
    </row>
    <row r="30" customFormat="false" ht="17.25" hidden="false" customHeight="true" outlineLevel="0" collapsed="false">
      <c r="B30" s="42" t="s">
        <v>127</v>
      </c>
      <c r="C30" s="43"/>
      <c r="D30" s="43"/>
    </row>
    <row r="32" customFormat="false" ht="15.75" hidden="false" customHeight="true" outlineLevel="0" collapsed="false">
      <c r="A32" s="45" t="s">
        <v>128</v>
      </c>
      <c r="B32" s="54" t="n">
        <f aca="false">'Phased Works Investment'!H11+'Employment &amp; GDP Impact'!B20</f>
        <v>2290.45</v>
      </c>
      <c r="C32" s="54" t="n">
        <f aca="false">'Phased Works Investment'!H11</f>
        <v>940.45</v>
      </c>
      <c r="D32" s="46" t="s">
        <v>129</v>
      </c>
    </row>
    <row r="33" customFormat="false" ht="15.75" hidden="false" customHeight="true" outlineLevel="0" collapsed="false">
      <c r="B33" s="45" t="s">
        <v>130</v>
      </c>
      <c r="C33" s="55" t="n">
        <f aca="false">'Investment &amp; Returns'!B27</f>
        <v>17.5764809843</v>
      </c>
    </row>
    <row r="34" customFormat="false" ht="15.75" hidden="false" customHeight="true" outlineLevel="0" collapsed="false">
      <c r="B34" s="45" t="s">
        <v>131</v>
      </c>
      <c r="C34" s="56" t="n">
        <f aca="false">'Investment &amp; Returns'!B28</f>
        <v>13.0406149238355</v>
      </c>
      <c r="D34" s="57" t="s">
        <v>132</v>
      </c>
    </row>
    <row r="35" customFormat="false" ht="15.75" hidden="false" customHeight="true" outlineLevel="0" collapsed="false">
      <c r="B35" s="58" t="n">
        <f aca="false">MAX('Employment &amp; GDP Impact'!B33,'Employment &amp; GDP Impact'!B33)</f>
        <v>1360.041363703</v>
      </c>
      <c r="C35" s="58" t="n">
        <f aca="false">MAX('Phased Works Investment'!B29:K29)</f>
        <v>3813.78</v>
      </c>
      <c r="D35" s="59" t="s">
        <v>133</v>
      </c>
    </row>
    <row r="36" customFormat="false" ht="15.75" hidden="false" customHeight="true" outlineLevel="0" collapsed="false">
      <c r="B36" s="58" t="n">
        <f aca="false">'Employment &amp; GDP Impact'!B41</f>
        <v>1400.375</v>
      </c>
      <c r="C36" s="58" t="n">
        <f aca="false">('Phased Works Investment'!J11+80)*Assumptions!B37</f>
        <v>1326</v>
      </c>
      <c r="D36" s="59" t="s">
        <v>134</v>
      </c>
    </row>
    <row r="37" customFormat="false" ht="15.75" hidden="false" customHeight="true" outlineLevel="0" collapsed="false">
      <c r="B37" s="60" t="n">
        <f aca="false">'Employment &amp; GDP Impact'!B54</f>
        <v>509.11643964856</v>
      </c>
      <c r="C37" s="60" t="n">
        <f aca="false">'Sensitivity &amp; GDP'!C14</f>
        <v>155.7506</v>
      </c>
      <c r="D37" s="59" t="s">
        <v>135</v>
      </c>
    </row>
    <row r="38" customFormat="false" ht="15.75" hidden="false" customHeight="true" outlineLevel="0" collapsed="false">
      <c r="B38" s="61" t="n">
        <f aca="false">'Employment &amp; GDP Impact'!B55</f>
        <v>0.00652713384164821</v>
      </c>
      <c r="C38" s="61" t="n">
        <f aca="false">'Sensitivity &amp; GDP'!C15</f>
        <v>0.00199680256410256</v>
      </c>
    </row>
    <row r="39" customFormat="false" ht="15.75" hidden="false" customHeight="true" outlineLevel="0" collapsed="false">
      <c r="B39" s="45" t="s">
        <v>136</v>
      </c>
      <c r="C39" s="62" t="s">
        <v>137</v>
      </c>
    </row>
    <row r="40" customFormat="false" ht="15.75" hidden="false" customHeight="true" outlineLevel="0" collapsed="false">
      <c r="B40" s="45" t="s">
        <v>138</v>
      </c>
      <c r="C40" s="62" t="s">
        <v>139</v>
      </c>
    </row>
    <row r="42" customFormat="false" ht="17.25" hidden="false" customHeight="true" outlineLevel="0" collapsed="false">
      <c r="B42" s="42" t="s">
        <v>140</v>
      </c>
      <c r="C42" s="43"/>
      <c r="D42" s="43"/>
    </row>
    <row r="43" customFormat="false" ht="15" hidden="false" customHeight="true" outlineLevel="0" collapsed="false">
      <c r="B43" s="63" t="s">
        <v>141</v>
      </c>
      <c r="D43" s="46" t="s">
        <v>142</v>
      </c>
    </row>
    <row r="44" customFormat="false" ht="15" hidden="false" customHeight="true" outlineLevel="0" collapsed="false">
      <c r="B44" s="63" t="s">
        <v>143</v>
      </c>
      <c r="D44" s="46" t="s">
        <v>144</v>
      </c>
    </row>
    <row r="45" customFormat="false" ht="15" hidden="false" customHeight="true" outlineLevel="0" collapsed="false">
      <c r="B45" s="63" t="s">
        <v>145</v>
      </c>
      <c r="D45" s="46" t="s">
        <v>146</v>
      </c>
    </row>
    <row r="46" customFormat="false" ht="15" hidden="false" customHeight="true" outlineLevel="0" collapsed="false">
      <c r="B46" s="63" t="s">
        <v>147</v>
      </c>
      <c r="D46" s="46" t="s">
        <v>148</v>
      </c>
    </row>
    <row r="47" customFormat="false" ht="15" hidden="false" customHeight="true" outlineLevel="0" collapsed="false">
      <c r="B47" s="63" t="s">
        <v>149</v>
      </c>
      <c r="D47" s="46" t="s">
        <v>150</v>
      </c>
    </row>
    <row r="48" customFormat="false" ht="15" hidden="false" customHeight="true" outlineLevel="0" collapsed="false">
      <c r="B48" s="63" t="s">
        <v>151</v>
      </c>
      <c r="D48" s="46" t="s">
        <v>152</v>
      </c>
    </row>
    <row r="49" customFormat="false" ht="15" hidden="false" customHeight="true" outlineLevel="0" collapsed="false">
      <c r="B49" s="63" t="s">
        <v>153</v>
      </c>
      <c r="D49" s="46" t="s">
        <v>154</v>
      </c>
    </row>
    <row r="50" customFormat="false" ht="15" hidden="false" customHeight="true" outlineLevel="0" collapsed="false">
      <c r="B50" s="63" t="s">
        <v>155</v>
      </c>
      <c r="D50" s="46" t="s">
        <v>156</v>
      </c>
    </row>
    <row r="52" customFormat="false" ht="15" hidden="false" customHeight="true" outlineLevel="0" collapsed="false">
      <c r="B52" s="64" t="s">
        <v>157</v>
      </c>
    </row>
    <row r="53" customFormat="false" ht="15" hidden="false" customHeight="true" outlineLevel="0" collapsed="false">
      <c r="B53" s="46" t="s">
        <v>158</v>
      </c>
    </row>
    <row r="54" customFormat="false" ht="15" hidden="false" customHeight="true" outlineLevel="0" collapsed="false">
      <c r="B54" s="46" t="s">
        <v>159</v>
      </c>
    </row>
    <row r="55" customFormat="false" ht="15" hidden="false" customHeight="true" outlineLevel="0" collapsed="false">
      <c r="B55" s="46" t="s">
        <v>160</v>
      </c>
    </row>
    <row r="57" customFormat="false" ht="15" hidden="false" customHeight="true" outlineLevel="0" collapsed="false">
      <c r="B57" s="65" t="s">
        <v>161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50"/>
    <col collapsed="false" customWidth="true" hidden="false" outlineLevel="0" max="2" min="2" style="39" width="25"/>
    <col collapsed="false" customWidth="true" hidden="false" outlineLevel="0" max="3" min="3" style="39" width="40"/>
  </cols>
  <sheetData>
    <row r="1" customFormat="false" ht="17.25" hidden="false" customHeight="true" outlineLevel="0" collapsed="false">
      <c r="A1" s="66" t="s">
        <v>162</v>
      </c>
      <c r="B1" s="45"/>
      <c r="C1" s="45"/>
    </row>
    <row r="2" customFormat="false" ht="15" hidden="false" customHeight="true" outlineLevel="0" collapsed="false">
      <c r="A2" s="45"/>
      <c r="B2" s="45"/>
      <c r="C2" s="45"/>
    </row>
    <row r="3" customFormat="false" ht="15" hidden="false" customHeight="true" outlineLevel="0" collapsed="false">
      <c r="A3" s="67" t="s">
        <v>163</v>
      </c>
      <c r="B3" s="68"/>
      <c r="C3" s="68"/>
    </row>
    <row r="4" customFormat="false" ht="15" hidden="false" customHeight="true" outlineLevel="0" collapsed="false">
      <c r="A4" s="45" t="s">
        <v>164</v>
      </c>
      <c r="B4" s="69" t="n">
        <f aca="false">'Phased Works Investment'!H11</f>
        <v>940.45</v>
      </c>
      <c r="C4" s="45"/>
    </row>
    <row r="5" customFormat="false" ht="15" hidden="false" customHeight="true" outlineLevel="0" collapsed="false">
      <c r="A5" s="45" t="s">
        <v>165</v>
      </c>
      <c r="B5" s="69" t="n">
        <f aca="false">'Phased Works Investment'!H6</f>
        <v>375</v>
      </c>
      <c r="C5" s="45"/>
    </row>
    <row r="6" customFormat="false" ht="15" hidden="false" customHeight="true" outlineLevel="0" collapsed="false">
      <c r="A6" s="45" t="s">
        <v>166</v>
      </c>
      <c r="B6" s="69" t="n">
        <f aca="false">'Phased Works Investment'!H7</f>
        <v>320</v>
      </c>
      <c r="C6" s="45"/>
    </row>
    <row r="7" customFormat="false" ht="15" hidden="false" customHeight="true" outlineLevel="0" collapsed="false">
      <c r="A7" s="45" t="s">
        <v>167</v>
      </c>
      <c r="B7" s="69" t="n">
        <f aca="false">'Phased Works Investment'!H8</f>
        <v>96</v>
      </c>
      <c r="C7" s="45"/>
    </row>
    <row r="8" customFormat="false" ht="15" hidden="false" customHeight="true" outlineLevel="0" collapsed="false">
      <c r="A8" s="45" t="s">
        <v>168</v>
      </c>
      <c r="B8" s="69" t="n">
        <f aca="false">'Phased Works Investment'!H9</f>
        <v>99.45</v>
      </c>
      <c r="C8" s="45"/>
    </row>
    <row r="9" customFormat="false" ht="15" hidden="false" customHeight="true" outlineLevel="0" collapsed="false">
      <c r="A9" s="45" t="s">
        <v>169</v>
      </c>
      <c r="B9" s="69" t="n">
        <f aca="false">'Phased Works Investment'!H10</f>
        <v>50</v>
      </c>
      <c r="C9" s="45"/>
    </row>
    <row r="10" customFormat="false" ht="15" hidden="false" customHeight="true" outlineLevel="0" collapsed="false">
      <c r="A10" s="45" t="s">
        <v>170</v>
      </c>
      <c r="B10" s="69" t="n">
        <f aca="false">B4/10</f>
        <v>94.045</v>
      </c>
      <c r="C10" s="45"/>
    </row>
    <row r="11" customFormat="false" ht="15" hidden="false" customHeight="true" outlineLevel="0" collapsed="false">
      <c r="A11" s="45" t="s">
        <v>171</v>
      </c>
      <c r="B11" s="69" t="n">
        <f aca="false">'Employment &amp; GDP Impact'!B20</f>
        <v>1350</v>
      </c>
      <c r="C11" s="45"/>
    </row>
    <row r="12" customFormat="false" ht="15" hidden="false" customHeight="true" outlineLevel="0" collapsed="false">
      <c r="A12" s="70" t="s">
        <v>172</v>
      </c>
      <c r="B12" s="71" t="n">
        <f aca="false">B4+B11</f>
        <v>2290.45</v>
      </c>
      <c r="C12" s="70"/>
    </row>
    <row r="13" customFormat="false" ht="15" hidden="false" customHeight="true" outlineLevel="0" collapsed="false">
      <c r="A13" s="45"/>
      <c r="B13" s="45"/>
      <c r="C13" s="45"/>
    </row>
    <row r="14" customFormat="false" ht="15" hidden="false" customHeight="true" outlineLevel="0" collapsed="false">
      <c r="A14" s="67" t="s">
        <v>173</v>
      </c>
      <c r="B14" s="72"/>
      <c r="C14" s="68"/>
    </row>
    <row r="15" customFormat="false" ht="15" hidden="false" customHeight="true" outlineLevel="0" collapsed="false">
      <c r="A15" s="45" t="s">
        <v>174</v>
      </c>
      <c r="B15" s="69" t="n">
        <f aca="false">'Phased Works Investment'!L11</f>
        <v>0.0070104528</v>
      </c>
      <c r="C15" s="45"/>
    </row>
    <row r="16" customFormat="false" ht="15" hidden="false" customHeight="true" outlineLevel="0" collapsed="false">
      <c r="A16" s="45" t="s">
        <v>175</v>
      </c>
      <c r="B16" s="69" t="n">
        <f aca="false">'Investment &amp; Returns'!B17</f>
        <v>24.794</v>
      </c>
      <c r="C16" s="45"/>
    </row>
    <row r="17" customFormat="false" ht="15" hidden="false" customHeight="true" outlineLevel="0" collapsed="false">
      <c r="A17" s="45" t="s">
        <v>176</v>
      </c>
      <c r="B17" s="69" t="n">
        <f aca="false">'Investment &amp; Returns'!B18</f>
        <v>2.37615</v>
      </c>
      <c r="C17" s="45"/>
    </row>
    <row r="18" customFormat="false" ht="15" hidden="false" customHeight="true" outlineLevel="0" collapsed="false">
      <c r="A18" s="70" t="s">
        <v>177</v>
      </c>
      <c r="B18" s="71" t="n">
        <f aca="false">SUM(B15:B17)</f>
        <v>27.1771604528</v>
      </c>
      <c r="C18" s="70"/>
    </row>
    <row r="19" customFormat="false" ht="15" hidden="false" customHeight="true" outlineLevel="0" collapsed="false">
      <c r="A19" s="45" t="s">
        <v>178</v>
      </c>
      <c r="B19" s="69" t="n">
        <f aca="false">'Investment &amp; Returns'!B27</f>
        <v>17.5764809843</v>
      </c>
      <c r="C19" s="45"/>
    </row>
    <row r="20" customFormat="false" ht="15" hidden="false" customHeight="true" outlineLevel="0" collapsed="false">
      <c r="A20" s="45" t="s">
        <v>179</v>
      </c>
      <c r="B20" s="69" t="n">
        <f aca="false">'Employment &amp; GDP Impact'!B25+'Employment &amp; GDP Impact'!B26</f>
        <v>67.5</v>
      </c>
      <c r="C20" s="45"/>
    </row>
    <row r="21" customFormat="false" ht="15" hidden="false" customHeight="true" outlineLevel="0" collapsed="false">
      <c r="A21" s="45"/>
      <c r="B21" s="69"/>
      <c r="C21" s="45"/>
    </row>
    <row r="22" customFormat="false" ht="15" hidden="false" customHeight="true" outlineLevel="0" collapsed="false">
      <c r="A22" s="67" t="s">
        <v>180</v>
      </c>
      <c r="B22" s="68"/>
      <c r="C22" s="68"/>
    </row>
    <row r="23" customFormat="false" ht="15" hidden="false" customHeight="true" outlineLevel="0" collapsed="false">
      <c r="A23" s="45" t="s">
        <v>181</v>
      </c>
      <c r="B23" s="73" t="n">
        <f aca="false">'Employment &amp; GDP Impact'!B32</f>
        <v>800.02433159</v>
      </c>
      <c r="C23" s="45"/>
    </row>
    <row r="24" customFormat="false" ht="15" hidden="false" customHeight="true" outlineLevel="0" collapsed="false">
      <c r="A24" s="45" t="s">
        <v>182</v>
      </c>
      <c r="B24" s="73" t="n">
        <f aca="false">'Employment &amp; GDP Impact'!B33</f>
        <v>1360.041363703</v>
      </c>
      <c r="C24" s="45"/>
    </row>
    <row r="25" customFormat="false" ht="15" hidden="false" customHeight="true" outlineLevel="0" collapsed="false">
      <c r="A25" s="45" t="s">
        <v>183</v>
      </c>
      <c r="B25" s="73" t="n">
        <f aca="false">'Employment &amp; GDP Impact'!B40</f>
        <v>823.75</v>
      </c>
      <c r="C25" s="45"/>
    </row>
    <row r="26" customFormat="false" ht="15" hidden="false" customHeight="true" outlineLevel="0" collapsed="false">
      <c r="A26" s="45" t="s">
        <v>184</v>
      </c>
      <c r="B26" s="73" t="n">
        <v>80</v>
      </c>
      <c r="C26" s="45"/>
    </row>
    <row r="27" customFormat="false" ht="15" hidden="false" customHeight="true" outlineLevel="0" collapsed="false">
      <c r="A27" s="63" t="s">
        <v>185</v>
      </c>
      <c r="B27" s="73" t="n">
        <f aca="false">'Employment &amp; GDP Impact'!B41</f>
        <v>1400.375</v>
      </c>
      <c r="C27" s="45"/>
    </row>
    <row r="28" customFormat="false" ht="15" hidden="false" customHeight="true" outlineLevel="0" collapsed="false">
      <c r="A28" s="45"/>
      <c r="B28" s="45"/>
      <c r="C28" s="45"/>
    </row>
    <row r="29" customFormat="false" ht="15" hidden="false" customHeight="true" outlineLevel="0" collapsed="false">
      <c r="A29" s="67" t="s">
        <v>186</v>
      </c>
      <c r="B29" s="68"/>
      <c r="C29" s="68"/>
    </row>
    <row r="30" customFormat="false" ht="15" hidden="false" customHeight="true" outlineLevel="0" collapsed="false">
      <c r="A30" s="45" t="s">
        <v>187</v>
      </c>
      <c r="B30" s="69" t="n">
        <f aca="false">'Employment &amp; GDP Impact'!B46</f>
        <v>1914.27</v>
      </c>
      <c r="C30" s="45"/>
    </row>
    <row r="31" customFormat="false" ht="15" hidden="false" customHeight="true" outlineLevel="0" collapsed="false">
      <c r="A31" s="45" t="s">
        <v>188</v>
      </c>
      <c r="B31" s="69" t="n">
        <f aca="false">'Employment &amp; GDP Impact'!B54</f>
        <v>509.11643964856</v>
      </c>
      <c r="C31" s="45"/>
    </row>
    <row r="32" customFormat="false" ht="15" hidden="false" customHeight="true" outlineLevel="0" collapsed="false">
      <c r="A32" s="45" t="s">
        <v>77</v>
      </c>
      <c r="B32" s="74" t="n">
        <f aca="false">'Employment &amp; GDP Impact'!B55</f>
        <v>0.00652713384164821</v>
      </c>
      <c r="C32" s="45"/>
    </row>
    <row r="33" customFormat="false" ht="15" hidden="false" customHeight="true" outlineLevel="0" collapsed="false">
      <c r="A33" s="45"/>
      <c r="B33" s="45"/>
      <c r="C33" s="45"/>
    </row>
    <row r="34" customFormat="false" ht="15" hidden="false" customHeight="true" outlineLevel="0" collapsed="false">
      <c r="A34" s="67" t="s">
        <v>189</v>
      </c>
      <c r="B34" s="68"/>
      <c r="C34" s="68"/>
    </row>
    <row r="35" customFormat="false" ht="15" hidden="false" customHeight="true" outlineLevel="0" collapsed="false">
      <c r="A35" s="45" t="s">
        <v>190</v>
      </c>
      <c r="B35" s="75" t="n">
        <f aca="false">'Investment &amp; Returns'!B28</f>
        <v>13.0406149238355</v>
      </c>
      <c r="C35" s="45"/>
    </row>
    <row r="36" customFormat="false" ht="15" hidden="false" customHeight="true" outlineLevel="0" collapsed="false">
      <c r="A36" s="45" t="s">
        <v>191</v>
      </c>
      <c r="B36" s="57" t="s">
        <v>192</v>
      </c>
      <c r="C36" s="45"/>
    </row>
    <row r="37" customFormat="false" ht="15" hidden="false" customHeight="true" outlineLevel="0" collapsed="false">
      <c r="A37" s="45" t="s">
        <v>193</v>
      </c>
      <c r="B37" s="57" t="s">
        <v>192</v>
      </c>
      <c r="C37" s="45"/>
    </row>
    <row r="38" customFormat="false" ht="15" hidden="false" customHeight="true" outlineLevel="0" collapsed="false">
      <c r="A38" s="45" t="s">
        <v>194</v>
      </c>
      <c r="B38" s="57" t="s">
        <v>192</v>
      </c>
      <c r="C38" s="45"/>
    </row>
    <row r="39" customFormat="false" ht="15" hidden="false" customHeight="true" outlineLevel="0" collapsed="false">
      <c r="A39" s="45" t="s">
        <v>195</v>
      </c>
      <c r="B39" s="57" t="s">
        <v>196</v>
      </c>
      <c r="C39" s="45"/>
    </row>
    <row r="41" customFormat="false" ht="15" hidden="false" customHeight="true" outlineLevel="0" collapsed="false">
      <c r="A41" s="67" t="s">
        <v>197</v>
      </c>
      <c r="B41" s="43"/>
      <c r="C41" s="43"/>
    </row>
    <row r="42" customFormat="false" ht="15" hidden="false" customHeight="true" outlineLevel="0" collapsed="false">
      <c r="A42" s="45" t="s">
        <v>198</v>
      </c>
      <c r="B42" s="57" t="s">
        <v>199</v>
      </c>
    </row>
    <row r="43" customFormat="false" ht="15" hidden="false" customHeight="true" outlineLevel="0" collapsed="false">
      <c r="A43" s="45" t="s">
        <v>200</v>
      </c>
      <c r="B43" s="57" t="s">
        <v>201</v>
      </c>
    </row>
    <row r="44" customFormat="false" ht="15" hidden="false" customHeight="true" outlineLevel="0" collapsed="false">
      <c r="A44" s="45" t="s">
        <v>202</v>
      </c>
      <c r="B44" s="57" t="s">
        <v>203</v>
      </c>
    </row>
    <row r="46" customFormat="false" ht="15" hidden="false" customHeight="true" outlineLevel="0" collapsed="false">
      <c r="A46" s="59" t="s">
        <v>204</v>
      </c>
    </row>
    <row r="47" customFormat="false" ht="15" hidden="false" customHeight="true" outlineLevel="0" collapsed="false">
      <c r="A47" s="59" t="s">
        <v>205</v>
      </c>
    </row>
    <row r="48" customFormat="false" ht="15" hidden="false" customHeight="true" outlineLevel="0" collapsed="false">
      <c r="A48" s="59" t="s">
        <v>206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45"/>
    <col collapsed="false" customWidth="true" hidden="false" outlineLevel="0" max="2" min="2" style="39" width="18"/>
    <col collapsed="false" customWidth="true" hidden="false" outlineLevel="0" max="3" min="3" style="39" width="12"/>
    <col collapsed="false" customWidth="true" hidden="false" outlineLevel="0" max="4" min="4" style="39" width="50"/>
  </cols>
  <sheetData>
    <row r="1" customFormat="false" ht="17.25" hidden="false" customHeight="true" outlineLevel="0" collapsed="false">
      <c r="A1" s="66" t="s">
        <v>207</v>
      </c>
    </row>
    <row r="2" customFormat="false" ht="15" hidden="false" customHeight="true" outlineLevel="0" collapsed="false">
      <c r="A2" s="76" t="s">
        <v>208</v>
      </c>
    </row>
    <row r="3" customFormat="false" ht="15" hidden="false" customHeight="true" outlineLevel="0" collapsed="false">
      <c r="A3" s="59" t="s">
        <v>209</v>
      </c>
      <c r="D3" s="59" t="s">
        <v>210</v>
      </c>
    </row>
    <row r="5" customFormat="false" ht="15" hidden="false" customHeight="true" outlineLevel="0" collapsed="false">
      <c r="A5" s="67" t="s">
        <v>211</v>
      </c>
      <c r="B5" s="43"/>
      <c r="C5" s="43"/>
      <c r="D5" s="43"/>
    </row>
    <row r="6" customFormat="false" ht="15" hidden="false" customHeight="true" outlineLevel="0" collapsed="false">
      <c r="A6" s="45" t="s">
        <v>212</v>
      </c>
      <c r="B6" s="77" t="n">
        <v>3100000</v>
      </c>
      <c r="D6" s="59" t="s">
        <v>213</v>
      </c>
    </row>
    <row r="7" customFormat="false" ht="15" hidden="false" customHeight="true" outlineLevel="0" collapsed="false">
      <c r="A7" s="45" t="s">
        <v>214</v>
      </c>
      <c r="B7" s="77" t="n">
        <v>838</v>
      </c>
      <c r="D7" s="59" t="s">
        <v>215</v>
      </c>
    </row>
    <row r="8" customFormat="false" ht="15" hidden="false" customHeight="true" outlineLevel="0" collapsed="false">
      <c r="A8" s="45" t="s">
        <v>216</v>
      </c>
      <c r="B8" s="78" t="n">
        <v>46</v>
      </c>
      <c r="D8" s="59" t="s">
        <v>217</v>
      </c>
    </row>
    <row r="9" customFormat="false" ht="15" hidden="false" customHeight="true" outlineLevel="0" collapsed="false">
      <c r="A9" s="45" t="s">
        <v>218</v>
      </c>
      <c r="B9" s="79" t="n">
        <v>0.23</v>
      </c>
      <c r="D9" s="59" t="s">
        <v>219</v>
      </c>
    </row>
    <row r="10" customFormat="false" ht="15" hidden="false" customHeight="true" outlineLevel="0" collapsed="false">
      <c r="A10" s="45" t="s">
        <v>220</v>
      </c>
      <c r="B10" s="78" t="n">
        <v>928</v>
      </c>
      <c r="D10" s="59" t="s">
        <v>221</v>
      </c>
    </row>
    <row r="11" customFormat="false" ht="15" hidden="false" customHeight="true" outlineLevel="0" collapsed="false">
      <c r="A11" s="45" t="s">
        <v>222</v>
      </c>
      <c r="B11" s="77" t="n">
        <v>3500</v>
      </c>
      <c r="D11" s="59" t="s">
        <v>223</v>
      </c>
    </row>
    <row r="13" customFormat="false" ht="15" hidden="false" customHeight="true" outlineLevel="0" collapsed="false">
      <c r="A13" s="67" t="s">
        <v>224</v>
      </c>
      <c r="B13" s="43"/>
      <c r="C13" s="43"/>
      <c r="D13" s="43"/>
    </row>
    <row r="14" customFormat="false" ht="15" hidden="false" customHeight="true" outlineLevel="0" collapsed="false">
      <c r="A14" s="45" t="s">
        <v>225</v>
      </c>
      <c r="B14" s="77" t="n">
        <v>60</v>
      </c>
      <c r="D14" s="59" t="s">
        <v>226</v>
      </c>
    </row>
    <row r="15" customFormat="false" ht="15" hidden="false" customHeight="true" outlineLevel="0" collapsed="false">
      <c r="A15" s="45" t="s">
        <v>227</v>
      </c>
      <c r="B15" s="73" t="n">
        <f aca="false">B6*B14/1000000*365</f>
        <v>67890</v>
      </c>
      <c r="D15" s="59" t="s">
        <v>228</v>
      </c>
    </row>
    <row r="16" customFormat="false" ht="15" hidden="false" customHeight="true" outlineLevel="0" collapsed="false">
      <c r="A16" s="45" t="s">
        <v>229</v>
      </c>
      <c r="B16" s="77" t="n">
        <v>450</v>
      </c>
      <c r="D16" s="59" t="s">
        <v>230</v>
      </c>
    </row>
    <row r="17" customFormat="false" ht="15" hidden="false" customHeight="true" outlineLevel="0" collapsed="false">
      <c r="A17" s="45" t="s">
        <v>231</v>
      </c>
      <c r="B17" s="79" t="n">
        <v>0.6</v>
      </c>
      <c r="D17" s="59" t="s">
        <v>232</v>
      </c>
    </row>
    <row r="18" customFormat="false" ht="15" hidden="false" customHeight="true" outlineLevel="0" collapsed="false">
      <c r="A18" s="45" t="s">
        <v>233</v>
      </c>
      <c r="B18" s="77" t="n">
        <v>10</v>
      </c>
      <c r="D18" s="59" t="s">
        <v>234</v>
      </c>
    </row>
    <row r="19" customFormat="false" ht="15" hidden="false" customHeight="true" outlineLevel="0" collapsed="false">
      <c r="A19" s="45" t="s">
        <v>235</v>
      </c>
      <c r="B19" s="79" t="n">
        <v>0.38</v>
      </c>
      <c r="D19" s="59" t="s">
        <v>236</v>
      </c>
    </row>
    <row r="20" customFormat="false" ht="15" hidden="false" customHeight="true" outlineLevel="0" collapsed="false">
      <c r="A20" s="45" t="s">
        <v>237</v>
      </c>
      <c r="B20" s="80" t="n">
        <v>6.5</v>
      </c>
      <c r="D20" s="59" t="s">
        <v>238</v>
      </c>
    </row>
    <row r="21" customFormat="false" ht="15" hidden="false" customHeight="true" outlineLevel="0" collapsed="false">
      <c r="A21" s="45" t="s">
        <v>239</v>
      </c>
      <c r="B21" s="80" t="n">
        <v>12</v>
      </c>
      <c r="D21" s="59" t="s">
        <v>240</v>
      </c>
    </row>
    <row r="22" customFormat="false" ht="15" hidden="false" customHeight="true" outlineLevel="0" collapsed="false">
      <c r="A22" s="45" t="s">
        <v>241</v>
      </c>
      <c r="B22" s="78" t="n">
        <v>35</v>
      </c>
      <c r="D22" s="59" t="s">
        <v>242</v>
      </c>
    </row>
    <row r="24" customFormat="false" ht="15" hidden="false" customHeight="true" outlineLevel="0" collapsed="false">
      <c r="A24" s="67" t="s">
        <v>243</v>
      </c>
      <c r="B24" s="43"/>
      <c r="C24" s="43"/>
      <c r="D24" s="43"/>
    </row>
    <row r="25" customFormat="false" ht="15" hidden="false" customHeight="true" outlineLevel="0" collapsed="false">
      <c r="A25" s="45" t="s">
        <v>244</v>
      </c>
      <c r="B25" s="78" t="n">
        <v>4500</v>
      </c>
      <c r="D25" s="59" t="s">
        <v>245</v>
      </c>
    </row>
    <row r="26" customFormat="false" ht="15" hidden="false" customHeight="true" outlineLevel="0" collapsed="false">
      <c r="A26" s="45" t="s">
        <v>246</v>
      </c>
      <c r="B26" s="77" t="n">
        <v>10</v>
      </c>
    </row>
    <row r="27" customFormat="false" ht="15" hidden="false" customHeight="true" outlineLevel="0" collapsed="false">
      <c r="A27" s="45" t="s">
        <v>247</v>
      </c>
      <c r="B27" s="77" t="n">
        <v>35</v>
      </c>
    </row>
    <row r="28" customFormat="false" ht="15" hidden="false" customHeight="true" outlineLevel="0" collapsed="false">
      <c r="A28" s="45" t="s">
        <v>248</v>
      </c>
      <c r="B28" s="79" t="n">
        <v>0.045</v>
      </c>
      <c r="D28" s="59" t="s">
        <v>249</v>
      </c>
    </row>
    <row r="29" customFormat="false" ht="15" hidden="false" customHeight="true" outlineLevel="0" collapsed="false">
      <c r="A29" s="45" t="s">
        <v>250</v>
      </c>
      <c r="B29" s="79" t="n">
        <v>0.015</v>
      </c>
      <c r="D29" s="59" t="s">
        <v>251</v>
      </c>
    </row>
    <row r="30" customFormat="false" ht="15" hidden="false" customHeight="true" outlineLevel="0" collapsed="false">
      <c r="A30" s="45" t="s">
        <v>252</v>
      </c>
      <c r="B30" s="79" t="n">
        <v>0.15</v>
      </c>
      <c r="D30" s="59" t="s">
        <v>253</v>
      </c>
    </row>
    <row r="32" customFormat="false" ht="15" hidden="false" customHeight="true" outlineLevel="0" collapsed="false">
      <c r="A32" s="67" t="s">
        <v>254</v>
      </c>
      <c r="B32" s="43"/>
      <c r="C32" s="43"/>
      <c r="D32" s="43"/>
    </row>
    <row r="33" customFormat="false" ht="15" hidden="false" customHeight="true" outlineLevel="0" collapsed="false">
      <c r="A33" s="45" t="s">
        <v>123</v>
      </c>
      <c r="B33" s="77" t="n">
        <v>12</v>
      </c>
      <c r="D33" s="59" t="s">
        <v>255</v>
      </c>
    </row>
    <row r="34" customFormat="false" ht="15" hidden="false" customHeight="true" outlineLevel="0" collapsed="false">
      <c r="A34" s="45" t="s">
        <v>256</v>
      </c>
      <c r="B34" s="77" t="n">
        <v>15</v>
      </c>
      <c r="D34" s="59" t="s">
        <v>257</v>
      </c>
    </row>
    <row r="35" customFormat="false" ht="15" hidden="false" customHeight="true" outlineLevel="0" collapsed="false">
      <c r="A35" s="45" t="s">
        <v>258</v>
      </c>
      <c r="B35" s="77" t="n">
        <v>20</v>
      </c>
      <c r="D35" s="59" t="s">
        <v>259</v>
      </c>
    </row>
    <row r="36" customFormat="false" ht="15" hidden="false" customHeight="true" outlineLevel="0" collapsed="false">
      <c r="A36" s="45" t="s">
        <v>260</v>
      </c>
      <c r="B36" s="79" t="n">
        <v>0.6</v>
      </c>
      <c r="D36" s="59" t="s">
        <v>261</v>
      </c>
    </row>
    <row r="37" customFormat="false" ht="15" hidden="false" customHeight="true" outlineLevel="0" collapsed="false">
      <c r="A37" s="45" t="s">
        <v>19</v>
      </c>
      <c r="B37" s="80" t="n">
        <v>1.7</v>
      </c>
      <c r="D37" s="59" t="s">
        <v>262</v>
      </c>
    </row>
    <row r="38" customFormat="false" ht="15" hidden="false" customHeight="true" outlineLevel="0" collapsed="false">
      <c r="A38" s="45" t="s">
        <v>263</v>
      </c>
      <c r="B38" s="78" t="n">
        <v>35000</v>
      </c>
      <c r="D38" s="59" t="s">
        <v>264</v>
      </c>
    </row>
    <row r="39" customFormat="false" ht="15" hidden="false" customHeight="true" outlineLevel="0" collapsed="false">
      <c r="A39" s="45" t="s">
        <v>265</v>
      </c>
      <c r="B39" s="78" t="n">
        <v>32000</v>
      </c>
      <c r="D39" s="59" t="s">
        <v>266</v>
      </c>
    </row>
    <row r="40" customFormat="false" ht="15" hidden="false" customHeight="true" outlineLevel="0" collapsed="false">
      <c r="A40" s="45" t="s">
        <v>267</v>
      </c>
      <c r="B40" s="79" t="n">
        <v>0.3</v>
      </c>
      <c r="D40" s="59" t="s">
        <v>268</v>
      </c>
    </row>
    <row r="41" customFormat="false" ht="15" hidden="false" customHeight="true" outlineLevel="0" collapsed="false">
      <c r="A41" s="45" t="s">
        <v>18</v>
      </c>
      <c r="B41" s="79" t="n">
        <v>0.08</v>
      </c>
      <c r="D41" s="59" t="s">
        <v>269</v>
      </c>
    </row>
    <row r="43" customFormat="false" ht="15" hidden="false" customHeight="true" outlineLevel="0" collapsed="false">
      <c r="A43" s="67" t="s">
        <v>270</v>
      </c>
      <c r="B43" s="43"/>
      <c r="C43" s="43"/>
      <c r="D43" s="43"/>
    </row>
    <row r="44" customFormat="false" ht="15" hidden="false" customHeight="true" outlineLevel="0" collapsed="false">
      <c r="A44" s="45" t="s">
        <v>271</v>
      </c>
      <c r="B44" s="77" t="n">
        <v>24677</v>
      </c>
      <c r="D44" s="59" t="s">
        <v>272</v>
      </c>
    </row>
    <row r="45" customFormat="false" ht="15" hidden="false" customHeight="true" outlineLevel="0" collapsed="false">
      <c r="A45" s="45" t="s">
        <v>273</v>
      </c>
      <c r="B45" s="77" t="n">
        <v>1750</v>
      </c>
      <c r="D45" s="59" t="s">
        <v>274</v>
      </c>
    </row>
    <row r="46" customFormat="false" ht="15" hidden="false" customHeight="true" outlineLevel="0" collapsed="false">
      <c r="A46" s="45" t="s">
        <v>275</v>
      </c>
      <c r="B46" s="77" t="n">
        <v>500</v>
      </c>
      <c r="D46" s="59" t="s">
        <v>276</v>
      </c>
    </row>
    <row r="47" customFormat="false" ht="15" hidden="false" customHeight="true" outlineLevel="0" collapsed="false">
      <c r="A47" s="63" t="s">
        <v>277</v>
      </c>
      <c r="B47" s="81" t="n">
        <f aca="false">B45+B46</f>
        <v>2250</v>
      </c>
      <c r="D47" s="59" t="s">
        <v>278</v>
      </c>
    </row>
    <row r="48" customFormat="false" ht="15" hidden="false" customHeight="true" outlineLevel="0" collapsed="false">
      <c r="A48" s="45" t="s">
        <v>279</v>
      </c>
      <c r="B48" s="78" t="n">
        <v>1200000</v>
      </c>
      <c r="D48" s="59" t="s">
        <v>280</v>
      </c>
    </row>
    <row r="49" customFormat="false" ht="15" hidden="false" customHeight="true" outlineLevel="0" collapsed="false">
      <c r="A49" s="45" t="s">
        <v>281</v>
      </c>
      <c r="B49" s="77" t="n">
        <v>200</v>
      </c>
      <c r="D49" s="59" t="s">
        <v>282</v>
      </c>
    </row>
    <row r="50" customFormat="false" ht="15" hidden="false" customHeight="true" outlineLevel="0" collapsed="false">
      <c r="A50" s="45" t="s">
        <v>283</v>
      </c>
      <c r="B50" s="79" t="n">
        <v>0.5</v>
      </c>
      <c r="D50" s="59" t="s">
        <v>284</v>
      </c>
    </row>
    <row r="51" customFormat="false" ht="15" hidden="false" customHeight="true" outlineLevel="0" collapsed="false">
      <c r="A51" s="45" t="s">
        <v>285</v>
      </c>
      <c r="B51" s="77" t="n">
        <v>8</v>
      </c>
      <c r="D51" s="59" t="s">
        <v>286</v>
      </c>
    </row>
    <row r="52" customFormat="false" ht="15" hidden="false" customHeight="true" outlineLevel="0" collapsed="false">
      <c r="A52" s="45" t="s">
        <v>287</v>
      </c>
      <c r="B52" s="77" t="n">
        <v>3</v>
      </c>
      <c r="D52" s="59" t="s">
        <v>288</v>
      </c>
    </row>
    <row r="53" customFormat="false" ht="15" hidden="false" customHeight="true" outlineLevel="0" collapsed="false">
      <c r="A53" s="45" t="s">
        <v>289</v>
      </c>
      <c r="B53" s="78" t="n">
        <v>15000</v>
      </c>
      <c r="D53" s="59" t="s">
        <v>290</v>
      </c>
    </row>
    <row r="54" customFormat="false" ht="15" hidden="false" customHeight="true" outlineLevel="0" collapsed="false">
      <c r="A54" s="45" t="s">
        <v>291</v>
      </c>
      <c r="B54" s="78" t="n">
        <v>45000</v>
      </c>
      <c r="D54" s="59" t="s">
        <v>292</v>
      </c>
    </row>
    <row r="56" customFormat="false" ht="15" hidden="false" customHeight="true" outlineLevel="0" collapsed="false">
      <c r="A56" s="67" t="s">
        <v>293</v>
      </c>
      <c r="B56" s="43"/>
      <c r="C56" s="43"/>
      <c r="D56" s="43"/>
    </row>
    <row r="57" customFormat="false" ht="15" hidden="false" customHeight="true" outlineLevel="0" collapsed="false">
      <c r="A57" s="45" t="s">
        <v>294</v>
      </c>
      <c r="B57" s="78" t="n">
        <v>78000</v>
      </c>
      <c r="D57" s="59" t="s">
        <v>11</v>
      </c>
    </row>
    <row r="58" customFormat="false" ht="15" hidden="false" customHeight="true" outlineLevel="0" collapsed="false">
      <c r="A58" s="45" t="s">
        <v>295</v>
      </c>
      <c r="B58" s="78" t="n">
        <v>2500</v>
      </c>
      <c r="D58" s="59" t="s">
        <v>296</v>
      </c>
    </row>
    <row r="59" customFormat="false" ht="15" hidden="false" customHeight="true" outlineLevel="0" collapsed="false">
      <c r="A59" s="45" t="s">
        <v>297</v>
      </c>
      <c r="B59" s="79" t="n">
        <v>0.02</v>
      </c>
      <c r="D59" s="59" t="s">
        <v>298</v>
      </c>
    </row>
    <row r="60" customFormat="false" ht="15" hidden="false" customHeight="true" outlineLevel="0" collapsed="false">
      <c r="A60" s="45" t="s">
        <v>299</v>
      </c>
      <c r="B60" s="77" t="n">
        <v>5</v>
      </c>
      <c r="D60" s="59" t="s">
        <v>300</v>
      </c>
    </row>
    <row r="61" customFormat="false" ht="15" hidden="false" customHeight="true" outlineLevel="0" collapsed="false">
      <c r="A61" s="45" t="s">
        <v>301</v>
      </c>
      <c r="B61" s="77" t="n">
        <v>200</v>
      </c>
      <c r="D61" s="59" t="s">
        <v>302</v>
      </c>
    </row>
    <row r="62" customFormat="false" ht="15" hidden="false" customHeight="true" outlineLevel="0" collapsed="false">
      <c r="A62" s="45" t="s">
        <v>303</v>
      </c>
      <c r="B62" s="77" t="n">
        <v>50</v>
      </c>
      <c r="D62" s="59" t="s">
        <v>304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38"/>
    <col collapsed="false" customWidth="true" hidden="false" outlineLevel="0" max="3" min="2" style="39" width="14"/>
    <col collapsed="false" customWidth="true" hidden="false" outlineLevel="0" max="7" min="4" style="39" width="16"/>
    <col collapsed="false" customWidth="true" hidden="false" outlineLevel="0" max="9" min="8" style="39" width="14"/>
    <col collapsed="false" customWidth="true" hidden="false" outlineLevel="0" max="13" min="10" style="39" width="16"/>
    <col collapsed="false" customWidth="true" hidden="false" outlineLevel="0" max="14" min="14" style="39" width="40"/>
  </cols>
  <sheetData>
    <row r="1" customFormat="false" ht="17.25" hidden="false" customHeight="true" outlineLevel="0" collapsed="false">
      <c r="A1" s="66" t="s">
        <v>305</v>
      </c>
    </row>
    <row r="2" customFormat="false" ht="15" hidden="false" customHeight="true" outlineLevel="0" collapsed="false">
      <c r="A2" s="59" t="s">
        <v>306</v>
      </c>
    </row>
    <row r="4" customFormat="false" ht="15" hidden="false" customHeight="true" outlineLevel="0" collapsed="false">
      <c r="A4" s="67" t="s">
        <v>307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customFormat="false" ht="26.25" hidden="false" customHeight="true" outlineLevel="0" collapsed="false">
      <c r="A5" s="12" t="s">
        <v>308</v>
      </c>
      <c r="B5" s="12" t="s">
        <v>309</v>
      </c>
      <c r="C5" s="12" t="s">
        <v>212</v>
      </c>
      <c r="D5" s="12" t="s">
        <v>310</v>
      </c>
      <c r="E5" s="12" t="s">
        <v>311</v>
      </c>
      <c r="F5" s="12" t="s">
        <v>312</v>
      </c>
      <c r="G5" s="12" t="s">
        <v>313</v>
      </c>
      <c r="H5" s="12" t="s">
        <v>314</v>
      </c>
      <c r="I5" s="12" t="s">
        <v>315</v>
      </c>
      <c r="J5" s="12" t="s">
        <v>316</v>
      </c>
      <c r="K5" s="12" t="s">
        <v>317</v>
      </c>
      <c r="L5" s="12" t="s">
        <v>220</v>
      </c>
      <c r="M5" s="12" t="s">
        <v>318</v>
      </c>
      <c r="N5" s="12" t="s">
        <v>319</v>
      </c>
    </row>
    <row r="6" customFormat="false" ht="15" hidden="false" customHeight="true" outlineLevel="0" collapsed="false">
      <c r="A6" s="63" t="s">
        <v>320</v>
      </c>
      <c r="B6" s="77" t="n">
        <v>15</v>
      </c>
      <c r="C6" s="77" t="n">
        <v>1800000</v>
      </c>
      <c r="D6" s="82" t="n">
        <f aca="false">C6/3100000</f>
        <v>0.580645161290323</v>
      </c>
      <c r="E6" s="73" t="n">
        <f aca="false">C6*60/1000000*365</f>
        <v>39420</v>
      </c>
      <c r="F6" s="45" t="s">
        <v>321</v>
      </c>
      <c r="G6" s="83" t="n">
        <v>25</v>
      </c>
      <c r="H6" s="69" t="n">
        <f aca="false">B6*G6</f>
        <v>375</v>
      </c>
      <c r="I6" s="77" t="n">
        <v>20</v>
      </c>
      <c r="J6" s="73" t="n">
        <f aca="false">B6*I6</f>
        <v>300</v>
      </c>
      <c r="K6" s="69" t="n">
        <f aca="false">E6*450*0.6*10*0.38/1000000</f>
        <v>40.44492</v>
      </c>
      <c r="L6" s="69" t="n">
        <f aca="false">K6*1000*Assumptions!B21/100/1000000</f>
        <v>0.0048533904</v>
      </c>
      <c r="M6" s="45" t="s">
        <v>322</v>
      </c>
      <c r="N6" s="59" t="s">
        <v>323</v>
      </c>
    </row>
    <row r="7" customFormat="false" ht="15" hidden="false" customHeight="true" outlineLevel="0" collapsed="false">
      <c r="A7" s="63" t="s">
        <v>324</v>
      </c>
      <c r="B7" s="77" t="n">
        <v>40</v>
      </c>
      <c r="C7" s="77" t="n">
        <v>800000</v>
      </c>
      <c r="D7" s="82" t="n">
        <f aca="false">C7/3100000</f>
        <v>0.258064516129032</v>
      </c>
      <c r="E7" s="73" t="n">
        <f aca="false">C7*60/1000000*365</f>
        <v>17520</v>
      </c>
      <c r="F7" s="45" t="s">
        <v>325</v>
      </c>
      <c r="G7" s="83" t="n">
        <v>8</v>
      </c>
      <c r="H7" s="69" t="n">
        <f aca="false">B7*G7</f>
        <v>320</v>
      </c>
      <c r="I7" s="77" t="n">
        <v>8</v>
      </c>
      <c r="J7" s="73" t="n">
        <f aca="false">B7*I7</f>
        <v>320</v>
      </c>
      <c r="K7" s="69" t="n">
        <f aca="false">E7*450*0.6*10*0.38/1000000</f>
        <v>17.97552</v>
      </c>
      <c r="L7" s="69" t="n">
        <f aca="false">K7*1000*Assumptions!B21/100/1000000</f>
        <v>0.0021570624</v>
      </c>
      <c r="M7" s="45" t="s">
        <v>326</v>
      </c>
      <c r="N7" s="59" t="s">
        <v>327</v>
      </c>
    </row>
    <row r="8" customFormat="false" ht="15" hidden="false" customHeight="true" outlineLevel="0" collapsed="false">
      <c r="A8" s="63" t="s">
        <v>328</v>
      </c>
      <c r="B8" s="77" t="n">
        <v>120</v>
      </c>
      <c r="C8" s="77" t="n">
        <v>400000</v>
      </c>
      <c r="D8" s="82" t="n">
        <f aca="false">C8/3100000</f>
        <v>0.129032258064516</v>
      </c>
      <c r="E8" s="73" t="n">
        <f aca="false">C8*60/1000000*365</f>
        <v>8760</v>
      </c>
      <c r="F8" s="45" t="s">
        <v>329</v>
      </c>
      <c r="G8" s="83" t="n">
        <v>0.8</v>
      </c>
      <c r="H8" s="69" t="n">
        <f aca="false">B8*G8</f>
        <v>96</v>
      </c>
      <c r="I8" s="77" t="n">
        <v>0</v>
      </c>
      <c r="J8" s="73" t="n">
        <f aca="false">B8*I8</f>
        <v>0</v>
      </c>
      <c r="K8" s="59" t="s">
        <v>330</v>
      </c>
      <c r="L8" s="59" t="s">
        <v>331</v>
      </c>
      <c r="M8" s="45" t="s">
        <v>332</v>
      </c>
      <c r="N8" s="59" t="s">
        <v>333</v>
      </c>
    </row>
    <row r="9" customFormat="false" ht="15" hidden="false" customHeight="true" outlineLevel="0" collapsed="false">
      <c r="A9" s="63" t="s">
        <v>334</v>
      </c>
      <c r="B9" s="77" t="n">
        <v>663</v>
      </c>
      <c r="C9" s="77" t="n">
        <v>100000</v>
      </c>
      <c r="D9" s="82" t="n">
        <f aca="false">C9/3100000</f>
        <v>0.032258064516129</v>
      </c>
      <c r="E9" s="73" t="n">
        <f aca="false">C9*60/1000000*365</f>
        <v>2190</v>
      </c>
      <c r="F9" s="45" t="s">
        <v>335</v>
      </c>
      <c r="G9" s="83" t="n">
        <v>0.15</v>
      </c>
      <c r="H9" s="69" t="n">
        <f aca="false">B9*G9</f>
        <v>99.45</v>
      </c>
      <c r="I9" s="77" t="n">
        <v>0</v>
      </c>
      <c r="J9" s="73" t="n">
        <f aca="false">B9*I9</f>
        <v>0</v>
      </c>
      <c r="K9" s="59" t="s">
        <v>330</v>
      </c>
      <c r="L9" s="59" t="s">
        <v>331</v>
      </c>
      <c r="M9" s="45" t="s">
        <v>336</v>
      </c>
      <c r="N9" s="59" t="s">
        <v>337</v>
      </c>
    </row>
    <row r="10" customFormat="false" ht="15" hidden="false" customHeight="true" outlineLevel="0" collapsed="false">
      <c r="A10" s="63" t="s">
        <v>338</v>
      </c>
      <c r="F10" s="45" t="s">
        <v>339</v>
      </c>
      <c r="G10" s="83" t="n">
        <v>0</v>
      </c>
      <c r="H10" s="69" t="n">
        <f aca="false">50</f>
        <v>50</v>
      </c>
      <c r="I10" s="77" t="n">
        <v>0</v>
      </c>
      <c r="J10" s="73" t="n">
        <v>80</v>
      </c>
      <c r="N10" s="59" t="s">
        <v>340</v>
      </c>
    </row>
    <row r="11" customFormat="false" ht="15" hidden="false" customHeight="true" outlineLevel="0" collapsed="false">
      <c r="A11" s="70" t="s">
        <v>341</v>
      </c>
      <c r="B11" s="84" t="n">
        <f aca="false">SUM(B6:B9)</f>
        <v>838</v>
      </c>
      <c r="C11" s="84" t="n">
        <f aca="false">SUM(C6:C9)</f>
        <v>3100000</v>
      </c>
      <c r="D11" s="85" t="n">
        <f aca="false">SUM(D6:D9)</f>
        <v>1</v>
      </c>
      <c r="E11" s="84" t="n">
        <f aca="false">SUM(E6:E9)</f>
        <v>67890</v>
      </c>
      <c r="F11" s="70"/>
      <c r="G11" s="70"/>
      <c r="H11" s="71" t="n">
        <f aca="false">SUM(H6:H10)</f>
        <v>940.45</v>
      </c>
      <c r="I11" s="70"/>
      <c r="J11" s="84" t="n">
        <f aca="false">SUM(J6:J10)</f>
        <v>700</v>
      </c>
      <c r="K11" s="71" t="n">
        <f aca="false">SUM(K6:K7)</f>
        <v>58.42044</v>
      </c>
      <c r="L11" s="71" t="n">
        <f aca="false">SUM(L6:L7)</f>
        <v>0.0070104528</v>
      </c>
      <c r="M11" s="70"/>
      <c r="N11" s="70"/>
    </row>
    <row r="13" customFormat="false" ht="15" hidden="false" customHeight="true" outlineLevel="0" collapsed="false">
      <c r="A13" s="67" t="s">
        <v>342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customFormat="false" ht="15" hidden="false" customHeight="true" outlineLevel="0" collapsed="false">
      <c r="A14" s="45" t="s">
        <v>343</v>
      </c>
      <c r="B14" s="73" t="n">
        <f aca="false">B11</f>
        <v>838</v>
      </c>
      <c r="N14" s="59" t="s">
        <v>344</v>
      </c>
    </row>
    <row r="15" customFormat="false" ht="15" hidden="false" customHeight="true" outlineLevel="0" collapsed="false">
      <c r="A15" s="45" t="s">
        <v>345</v>
      </c>
      <c r="B15" s="73" t="n">
        <f aca="false">C11</f>
        <v>3100000</v>
      </c>
      <c r="N15" s="59" t="s">
        <v>346</v>
      </c>
    </row>
    <row r="17" customFormat="false" ht="15" hidden="false" customHeight="true" outlineLevel="0" collapsed="false">
      <c r="A17" s="67" t="s">
        <v>347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customFormat="false" ht="15" hidden="false" customHeight="true" outlineLevel="0" collapsed="false">
      <c r="A18" s="12" t="s">
        <v>308</v>
      </c>
      <c r="B18" s="12" t="s">
        <v>348</v>
      </c>
      <c r="C18" s="12" t="s">
        <v>349</v>
      </c>
      <c r="D18" s="12" t="s">
        <v>350</v>
      </c>
      <c r="E18" s="12" t="s">
        <v>351</v>
      </c>
      <c r="F18" s="12" t="s">
        <v>352</v>
      </c>
      <c r="G18" s="12" t="s">
        <v>353</v>
      </c>
      <c r="H18" s="12" t="s">
        <v>354</v>
      </c>
      <c r="I18" s="12" t="s">
        <v>355</v>
      </c>
      <c r="J18" s="12" t="s">
        <v>356</v>
      </c>
      <c r="K18" s="12" t="s">
        <v>357</v>
      </c>
      <c r="L18" s="12" t="s">
        <v>358</v>
      </c>
      <c r="M18" s="12"/>
      <c r="N18" s="12"/>
    </row>
    <row r="19" customFormat="false" ht="15" hidden="false" customHeight="true" outlineLevel="0" collapsed="false">
      <c r="A19" s="45" t="s">
        <v>359</v>
      </c>
      <c r="B19" s="69" t="n">
        <f aca="false">H6/4</f>
        <v>93.75</v>
      </c>
      <c r="C19" s="69" t="n">
        <f aca="false">H6/4</f>
        <v>93.75</v>
      </c>
      <c r="D19" s="69" t="n">
        <f aca="false">H6/4</f>
        <v>93.75</v>
      </c>
      <c r="E19" s="69" t="n">
        <f aca="false">H6/4</f>
        <v>93.75</v>
      </c>
      <c r="F19" s="86" t="n">
        <v>0</v>
      </c>
      <c r="G19" s="86" t="n">
        <v>0</v>
      </c>
      <c r="H19" s="86" t="n">
        <v>0</v>
      </c>
      <c r="I19" s="86" t="n">
        <v>0</v>
      </c>
      <c r="J19" s="86" t="n">
        <v>0</v>
      </c>
      <c r="K19" s="86" t="n">
        <v>0</v>
      </c>
      <c r="L19" s="69" t="n">
        <f aca="false">SUM(B19:K19)</f>
        <v>375</v>
      </c>
    </row>
    <row r="20" customFormat="false" ht="15" hidden="false" customHeight="true" outlineLevel="0" collapsed="false">
      <c r="A20" s="45" t="s">
        <v>360</v>
      </c>
      <c r="B20" s="86" t="n">
        <v>0</v>
      </c>
      <c r="C20" s="69" t="n">
        <f aca="false">H7/5</f>
        <v>64</v>
      </c>
      <c r="D20" s="69" t="n">
        <f aca="false">H7/5</f>
        <v>64</v>
      </c>
      <c r="E20" s="69" t="n">
        <f aca="false">H7/5</f>
        <v>64</v>
      </c>
      <c r="F20" s="69" t="n">
        <f aca="false">H7/5</f>
        <v>64</v>
      </c>
      <c r="G20" s="69" t="n">
        <f aca="false">H7/5</f>
        <v>64</v>
      </c>
      <c r="H20" s="86" t="n">
        <v>0</v>
      </c>
      <c r="I20" s="86" t="n">
        <v>0</v>
      </c>
      <c r="J20" s="86" t="n">
        <v>0</v>
      </c>
      <c r="K20" s="86" t="n">
        <v>0</v>
      </c>
      <c r="L20" s="69" t="n">
        <f aca="false">SUM(B20:K20)</f>
        <v>320</v>
      </c>
    </row>
    <row r="21" customFormat="false" ht="15" hidden="false" customHeight="true" outlineLevel="0" collapsed="false">
      <c r="A21" s="45" t="s">
        <v>361</v>
      </c>
      <c r="B21" s="86" t="n">
        <v>0</v>
      </c>
      <c r="C21" s="86" t="n">
        <v>0</v>
      </c>
      <c r="D21" s="69" t="n">
        <f aca="false">H8/5</f>
        <v>19.2</v>
      </c>
      <c r="E21" s="69" t="n">
        <f aca="false">H8/5</f>
        <v>19.2</v>
      </c>
      <c r="F21" s="69" t="n">
        <f aca="false">H8/5</f>
        <v>19.2</v>
      </c>
      <c r="G21" s="69" t="n">
        <f aca="false">H8/5</f>
        <v>19.2</v>
      </c>
      <c r="H21" s="69" t="n">
        <f aca="false">H8/5</f>
        <v>19.2</v>
      </c>
      <c r="I21" s="86" t="n">
        <v>0</v>
      </c>
      <c r="J21" s="86" t="n">
        <v>0</v>
      </c>
      <c r="K21" s="86" t="n">
        <v>0</v>
      </c>
      <c r="L21" s="69" t="n">
        <f aca="false">SUM(B21:K21)</f>
        <v>96</v>
      </c>
    </row>
    <row r="22" customFormat="false" ht="15" hidden="false" customHeight="true" outlineLevel="0" collapsed="false">
      <c r="A22" s="45" t="s">
        <v>362</v>
      </c>
      <c r="B22" s="86" t="n">
        <v>0</v>
      </c>
      <c r="C22" s="86" t="n">
        <v>0</v>
      </c>
      <c r="D22" s="86" t="n">
        <v>0</v>
      </c>
      <c r="E22" s="86" t="n">
        <v>0</v>
      </c>
      <c r="F22" s="69" t="n">
        <f aca="false">H9/6</f>
        <v>16.575</v>
      </c>
      <c r="G22" s="69" t="n">
        <f aca="false">H9/6</f>
        <v>16.575</v>
      </c>
      <c r="H22" s="69" t="n">
        <f aca="false">H9/6</f>
        <v>16.575</v>
      </c>
      <c r="I22" s="69" t="n">
        <f aca="false">H9/6</f>
        <v>16.575</v>
      </c>
      <c r="J22" s="69" t="n">
        <f aca="false">H9/6</f>
        <v>16.575</v>
      </c>
      <c r="K22" s="69" t="n">
        <f aca="false">H9/6</f>
        <v>16.575</v>
      </c>
      <c r="L22" s="69" t="n">
        <f aca="false">SUM(B22:K22)</f>
        <v>99.45</v>
      </c>
    </row>
    <row r="23" customFormat="false" ht="15" hidden="false" customHeight="true" outlineLevel="0" collapsed="false">
      <c r="A23" s="45" t="s">
        <v>363</v>
      </c>
      <c r="B23" s="86" t="n">
        <v>0</v>
      </c>
      <c r="C23" s="69" t="n">
        <f aca="false">H10/5</f>
        <v>10</v>
      </c>
      <c r="D23" s="69" t="n">
        <f aca="false">H10/5</f>
        <v>10</v>
      </c>
      <c r="E23" s="69" t="n">
        <f aca="false">H10/5</f>
        <v>10</v>
      </c>
      <c r="F23" s="69" t="n">
        <f aca="false">H10/5</f>
        <v>10</v>
      </c>
      <c r="G23" s="69" t="n">
        <f aca="false">H10/5</f>
        <v>10</v>
      </c>
      <c r="H23" s="86" t="n">
        <v>0</v>
      </c>
      <c r="I23" s="86" t="n">
        <v>0</v>
      </c>
      <c r="J23" s="86" t="n">
        <v>0</v>
      </c>
      <c r="K23" s="86" t="n">
        <v>0</v>
      </c>
      <c r="L23" s="69" t="n">
        <f aca="false">SUM(B23:K23)</f>
        <v>50</v>
      </c>
    </row>
    <row r="24" customFormat="false" ht="15" hidden="false" customHeight="true" outlineLevel="0" collapsed="false">
      <c r="A24" s="70" t="s">
        <v>364</v>
      </c>
      <c r="B24" s="71" t="n">
        <f aca="false">SUM(B19:B23)</f>
        <v>93.75</v>
      </c>
      <c r="C24" s="71" t="n">
        <f aca="false">SUM(C19:C23)</f>
        <v>167.75</v>
      </c>
      <c r="D24" s="71" t="n">
        <f aca="false">SUM(D19:D23)</f>
        <v>186.95</v>
      </c>
      <c r="E24" s="71" t="n">
        <f aca="false">SUM(E19:E23)</f>
        <v>186.95</v>
      </c>
      <c r="F24" s="71" t="n">
        <f aca="false">SUM(F19:F23)</f>
        <v>109.775</v>
      </c>
      <c r="G24" s="71" t="n">
        <f aca="false">SUM(G19:G23)</f>
        <v>109.775</v>
      </c>
      <c r="H24" s="71" t="n">
        <f aca="false">SUM(H19:H23)</f>
        <v>35.775</v>
      </c>
      <c r="I24" s="71" t="n">
        <f aca="false">SUM(I19:I23)</f>
        <v>16.575</v>
      </c>
      <c r="J24" s="71" t="n">
        <f aca="false">SUM(J19:J23)</f>
        <v>16.575</v>
      </c>
      <c r="K24" s="71" t="n">
        <f aca="false">SUM(K19:K23)</f>
        <v>16.575</v>
      </c>
      <c r="L24" s="71" t="n">
        <f aca="false">SUM(L19:L23)</f>
        <v>940.45</v>
      </c>
      <c r="M24" s="70"/>
    </row>
    <row r="26" customFormat="false" ht="15" hidden="false" customHeight="true" outlineLevel="0" collapsed="false">
      <c r="A26" s="67" t="s">
        <v>365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customFormat="false" ht="15" hidden="false" customHeight="true" outlineLevel="0" collapsed="false">
      <c r="A27" s="12"/>
      <c r="B27" s="12" t="s">
        <v>348</v>
      </c>
      <c r="C27" s="12" t="s">
        <v>349</v>
      </c>
      <c r="D27" s="12" t="s">
        <v>350</v>
      </c>
      <c r="E27" s="12" t="s">
        <v>351</v>
      </c>
      <c r="F27" s="12" t="s">
        <v>352</v>
      </c>
      <c r="G27" s="12" t="s">
        <v>353</v>
      </c>
      <c r="H27" s="12" t="s">
        <v>354</v>
      </c>
      <c r="I27" s="12" t="s">
        <v>355</v>
      </c>
      <c r="J27" s="12" t="s">
        <v>356</v>
      </c>
      <c r="K27" s="12" t="s">
        <v>357</v>
      </c>
      <c r="L27" s="12"/>
      <c r="M27" s="12"/>
      <c r="N27" s="12"/>
    </row>
    <row r="28" customFormat="false" ht="15" hidden="false" customHeight="true" outlineLevel="0" collapsed="false">
      <c r="A28" s="45" t="s">
        <v>366</v>
      </c>
      <c r="B28" s="73" t="n">
        <f aca="false">B24*Assumptions!B33</f>
        <v>1125</v>
      </c>
      <c r="C28" s="73" t="n">
        <f aca="false">C24*Assumptions!B33</f>
        <v>2013</v>
      </c>
      <c r="D28" s="73" t="n">
        <f aca="false">D24*Assumptions!B33</f>
        <v>2243.4</v>
      </c>
      <c r="E28" s="73" t="n">
        <f aca="false">E24*Assumptions!B33</f>
        <v>2243.4</v>
      </c>
      <c r="F28" s="73" t="n">
        <f aca="false">F24*Assumptions!B33</f>
        <v>1317.3</v>
      </c>
      <c r="G28" s="73" t="n">
        <f aca="false">G24*Assumptions!B33</f>
        <v>1317.3</v>
      </c>
      <c r="H28" s="73" t="n">
        <f aca="false">H24*Assumptions!B33</f>
        <v>429.3</v>
      </c>
      <c r="I28" s="73" t="n">
        <f aca="false">I24*Assumptions!B33</f>
        <v>198.9</v>
      </c>
      <c r="J28" s="73" t="n">
        <f aca="false">J24*Assumptions!B33</f>
        <v>198.9</v>
      </c>
      <c r="K28" s="73" t="n">
        <f aca="false">K24*Assumptions!B33</f>
        <v>198.9</v>
      </c>
    </row>
    <row r="29" customFormat="false" ht="15" hidden="false" customHeight="true" outlineLevel="0" collapsed="false">
      <c r="A29" s="45" t="s">
        <v>367</v>
      </c>
      <c r="B29" s="73" t="n">
        <f aca="false">B28*Assumptions!B37</f>
        <v>1912.5</v>
      </c>
      <c r="C29" s="73" t="n">
        <f aca="false">C28*Assumptions!B37</f>
        <v>3422.1</v>
      </c>
      <c r="D29" s="73" t="n">
        <f aca="false">D28*Assumptions!B37</f>
        <v>3813.78</v>
      </c>
      <c r="E29" s="73" t="n">
        <f aca="false">E28*Assumptions!B37</f>
        <v>3813.78</v>
      </c>
      <c r="F29" s="73" t="n">
        <f aca="false">F28*Assumptions!B37</f>
        <v>2239.41</v>
      </c>
      <c r="G29" s="73" t="n">
        <f aca="false">G28*Assumptions!B37</f>
        <v>2239.41</v>
      </c>
      <c r="H29" s="73" t="n">
        <f aca="false">H28*Assumptions!B37</f>
        <v>729.81</v>
      </c>
      <c r="I29" s="73" t="n">
        <f aca="false">I28*Assumptions!B37</f>
        <v>338.13</v>
      </c>
      <c r="J29" s="73" t="n">
        <f aca="false">J28*Assumptions!B37</f>
        <v>338.13</v>
      </c>
      <c r="K29" s="73" t="n">
        <f aca="false">K28*Assumptions!B37</f>
        <v>338.13</v>
      </c>
    </row>
    <row r="31" customFormat="false" ht="15" hidden="false" customHeight="true" outlineLevel="0" collapsed="false">
      <c r="A31" s="67" t="s">
        <v>368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customFormat="false" ht="15" hidden="false" customHeight="true" outlineLevel="0" collapsed="false">
      <c r="A32" s="12"/>
      <c r="B32" s="12" t="s">
        <v>348</v>
      </c>
      <c r="C32" s="12" t="s">
        <v>349</v>
      </c>
      <c r="D32" s="12" t="s">
        <v>350</v>
      </c>
      <c r="E32" s="12" t="s">
        <v>351</v>
      </c>
      <c r="F32" s="12" t="s">
        <v>352</v>
      </c>
      <c r="G32" s="12" t="s">
        <v>353</v>
      </c>
      <c r="H32" s="12" t="s">
        <v>354</v>
      </c>
      <c r="I32" s="12" t="s">
        <v>355</v>
      </c>
      <c r="J32" s="12" t="s">
        <v>356</v>
      </c>
      <c r="K32" s="12" t="s">
        <v>357</v>
      </c>
      <c r="L32" s="12"/>
      <c r="M32" s="12"/>
      <c r="N32" s="12"/>
    </row>
    <row r="33" customFormat="false" ht="15" hidden="false" customHeight="true" outlineLevel="0" collapsed="false">
      <c r="A33" s="45" t="s">
        <v>369</v>
      </c>
      <c r="B33" s="73" t="n">
        <f aca="false">ROUND(B6*1/4,0)</f>
        <v>4</v>
      </c>
      <c r="C33" s="73" t="n">
        <f aca="false">ROUND(B6*2/4,0)</f>
        <v>8</v>
      </c>
      <c r="D33" s="73" t="n">
        <f aca="false">ROUND(B6*3/4,0)</f>
        <v>11</v>
      </c>
      <c r="E33" s="73" t="n">
        <f aca="false">ROUND(B6*4/4,0)</f>
        <v>15</v>
      </c>
      <c r="F33" s="73" t="n">
        <f aca="false">B6</f>
        <v>15</v>
      </c>
      <c r="G33" s="73" t="n">
        <f aca="false">B6</f>
        <v>15</v>
      </c>
      <c r="H33" s="73" t="n">
        <f aca="false">B6</f>
        <v>15</v>
      </c>
      <c r="I33" s="73" t="n">
        <f aca="false">B6</f>
        <v>15</v>
      </c>
      <c r="J33" s="73" t="n">
        <f aca="false">B6</f>
        <v>15</v>
      </c>
      <c r="K33" s="73" t="n">
        <f aca="false">B6</f>
        <v>15</v>
      </c>
    </row>
    <row r="34" customFormat="false" ht="15" hidden="false" customHeight="true" outlineLevel="0" collapsed="false">
      <c r="A34" s="45" t="s">
        <v>370</v>
      </c>
      <c r="B34" s="87" t="n">
        <v>0</v>
      </c>
      <c r="C34" s="73" t="n">
        <f aca="false">ROUND(B7*(2-1)/5,0)</f>
        <v>8</v>
      </c>
      <c r="D34" s="73" t="n">
        <f aca="false">ROUND(B7*(3-1)/5,0)</f>
        <v>16</v>
      </c>
      <c r="E34" s="73" t="n">
        <f aca="false">ROUND(B7*(4-1)/5,0)</f>
        <v>24</v>
      </c>
      <c r="F34" s="73" t="n">
        <f aca="false">ROUND(B7*(5-1)/5,0)</f>
        <v>32</v>
      </c>
      <c r="G34" s="73" t="n">
        <f aca="false">ROUND(B7*(6-1)/5,0)</f>
        <v>40</v>
      </c>
      <c r="H34" s="73" t="n">
        <f aca="false">B7</f>
        <v>40</v>
      </c>
      <c r="I34" s="73" t="n">
        <f aca="false">B7</f>
        <v>40</v>
      </c>
      <c r="J34" s="73" t="n">
        <f aca="false">B7</f>
        <v>40</v>
      </c>
      <c r="K34" s="73" t="n">
        <f aca="false">B7</f>
        <v>40</v>
      </c>
    </row>
    <row r="35" customFormat="false" ht="15" hidden="false" customHeight="true" outlineLevel="0" collapsed="false">
      <c r="A35" s="45" t="s">
        <v>371</v>
      </c>
      <c r="B35" s="82" t="n">
        <f aca="false">(B33*C6/B6+B34*C7/B7)/C11</f>
        <v>0.154838709677419</v>
      </c>
      <c r="C35" s="82" t="n">
        <f aca="false">(C33*C6/B6+C34*C7/B7)/C11</f>
        <v>0.361290322580645</v>
      </c>
      <c r="D35" s="82" t="n">
        <f aca="false">(D33*C6/B6+D34*C7/B7)/C11</f>
        <v>0.529032258064516</v>
      </c>
      <c r="E35" s="82" t="n">
        <f aca="false">(E33*C6/B6+E34*C7/B7)/C11</f>
        <v>0.735483870967742</v>
      </c>
      <c r="F35" s="82" t="n">
        <f aca="false">(F33*C6/B6+F34*C7/B7)/C11</f>
        <v>0.787096774193548</v>
      </c>
      <c r="G35" s="82" t="n">
        <f aca="false">(G33*C6/B6+G34*C7/B7)/C11</f>
        <v>0.838709677419355</v>
      </c>
      <c r="H35" s="82" t="n">
        <f aca="false">(H33*C6/B6+H34*C7/B7)/C11</f>
        <v>0.838709677419355</v>
      </c>
      <c r="I35" s="82" t="n">
        <f aca="false">(I33*C6/B6+I34*C7/B7)/C11</f>
        <v>0.838709677419355</v>
      </c>
      <c r="J35" s="82" t="n">
        <f aca="false">(J33*C6/B6+J34*C7/B7)/C11</f>
        <v>0.838709677419355</v>
      </c>
      <c r="K35" s="82" t="n">
        <f aca="false">(K33*C6/B6+K34*C7/B7)/C11</f>
        <v>0.838709677419355</v>
      </c>
    </row>
    <row r="36" customFormat="false" ht="15" hidden="false" customHeight="true" outlineLevel="0" collapsed="false">
      <c r="A36" s="45" t="s">
        <v>372</v>
      </c>
      <c r="B36" s="69" t="n">
        <f aca="false">B35*K11</f>
        <v>9.0457455483871</v>
      </c>
      <c r="C36" s="69" t="n">
        <f aca="false">C35*K11</f>
        <v>21.1067396129032</v>
      </c>
      <c r="D36" s="69" t="n">
        <f aca="false">D35*K11</f>
        <v>30.9062972903226</v>
      </c>
      <c r="E36" s="69" t="n">
        <f aca="false">E35*K11</f>
        <v>42.9672913548387</v>
      </c>
      <c r="F36" s="69" t="n">
        <f aca="false">F35*K11</f>
        <v>45.9825398709677</v>
      </c>
      <c r="G36" s="69" t="n">
        <f aca="false">G35*K11</f>
        <v>48.9977883870968</v>
      </c>
      <c r="H36" s="69" t="n">
        <f aca="false">H35*K11</f>
        <v>48.9977883870968</v>
      </c>
      <c r="I36" s="69" t="n">
        <f aca="false">I35*K11</f>
        <v>48.9977883870968</v>
      </c>
      <c r="J36" s="69" t="n">
        <f aca="false">J35*K11</f>
        <v>48.9977883870968</v>
      </c>
      <c r="K36" s="69" t="n">
        <f aca="false">K35*K11</f>
        <v>48.9977883870968</v>
      </c>
    </row>
    <row r="37" customFormat="false" ht="15" hidden="false" customHeight="true" outlineLevel="0" collapsed="false">
      <c r="A37" s="45" t="s">
        <v>373</v>
      </c>
      <c r="B37" s="69" t="n">
        <f aca="false">B36*1000*Assumptions!B21/100/1000000</f>
        <v>0.00108548946580645</v>
      </c>
      <c r="C37" s="69" t="n">
        <f aca="false">C36*1000*Assumptions!B21/100/1000000</f>
        <v>0.00253280875354839</v>
      </c>
      <c r="D37" s="69" t="n">
        <f aca="false">D36*1000*Assumptions!B21/100/1000000</f>
        <v>0.00370875567483871</v>
      </c>
      <c r="E37" s="69" t="n">
        <f aca="false">E36*1000*Assumptions!B21/100/1000000</f>
        <v>0.00515607496258065</v>
      </c>
      <c r="F37" s="69" t="n">
        <f aca="false">F36*1000*Assumptions!B21/100/1000000</f>
        <v>0.00551790478451613</v>
      </c>
      <c r="G37" s="69" t="n">
        <f aca="false">G36*1000*Assumptions!B21/100/1000000</f>
        <v>0.00587973460645161</v>
      </c>
      <c r="H37" s="69" t="n">
        <f aca="false">H36*1000*Assumptions!B21/100/1000000</f>
        <v>0.00587973460645161</v>
      </c>
      <c r="I37" s="69" t="n">
        <f aca="false">I36*1000*Assumptions!B21/100/1000000</f>
        <v>0.00587973460645161</v>
      </c>
      <c r="J37" s="69" t="n">
        <f aca="false">J36*1000*Assumptions!B21/100/1000000</f>
        <v>0.00587973460645161</v>
      </c>
      <c r="K37" s="69" t="n">
        <f aca="false">K36*1000*Assumptions!B21/100/1000000</f>
        <v>0.00587973460645161</v>
      </c>
    </row>
    <row r="39" customFormat="false" ht="15" hidden="false" customHeight="true" outlineLevel="0" collapsed="false">
      <c r="A39" s="67" t="s">
        <v>374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customFormat="false" ht="15" hidden="false" customHeight="true" outlineLevel="0" collapsed="false">
      <c r="A40" s="59" t="s">
        <v>375</v>
      </c>
      <c r="B40" s="88" t="n">
        <f aca="false">H11</f>
        <v>940.45</v>
      </c>
    </row>
    <row r="41" customFormat="false" ht="15" hidden="false" customHeight="true" outlineLevel="0" collapsed="false">
      <c r="A41" s="59" t="s">
        <v>376</v>
      </c>
      <c r="B41" s="88" t="n">
        <f aca="false">H11/10</f>
        <v>94.045</v>
      </c>
    </row>
    <row r="42" customFormat="false" ht="15" hidden="false" customHeight="true" outlineLevel="0" collapsed="false">
      <c r="A42" s="59" t="s">
        <v>377</v>
      </c>
      <c r="B42" s="89" t="n">
        <f aca="false">MAX(C29:K29)</f>
        <v>3813.78</v>
      </c>
    </row>
    <row r="43" customFormat="false" ht="15" hidden="false" customHeight="true" outlineLevel="0" collapsed="false">
      <c r="A43" s="59" t="s">
        <v>378</v>
      </c>
      <c r="B43" s="89" t="n">
        <f aca="false">J11</f>
        <v>700</v>
      </c>
    </row>
    <row r="44" customFormat="false" ht="15" hidden="false" customHeight="true" outlineLevel="0" collapsed="false">
      <c r="A44" s="59" t="s">
        <v>379</v>
      </c>
      <c r="B44" s="88" t="n">
        <f aca="false">L11</f>
        <v>0.0070104528</v>
      </c>
    </row>
    <row r="45" customFormat="false" ht="15" hidden="false" customHeight="true" outlineLevel="0" collapsed="false">
      <c r="A45" s="59" t="s">
        <v>380</v>
      </c>
      <c r="B45" s="76" t="s">
        <v>381</v>
      </c>
    </row>
    <row r="47" customFormat="false" ht="15" hidden="false" customHeight="true" outlineLevel="0" collapsed="false">
      <c r="A47" s="59" t="s">
        <v>382</v>
      </c>
    </row>
    <row r="48" customFormat="false" ht="15" hidden="false" customHeight="true" outlineLevel="0" collapsed="false">
      <c r="A48" s="59" t="s">
        <v>383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40"/>
    <col collapsed="false" customWidth="true" hidden="false" outlineLevel="0" max="12" min="2" style="39" width="16"/>
  </cols>
  <sheetData>
    <row r="1" customFormat="false" ht="17.25" hidden="false" customHeight="true" outlineLevel="0" collapsed="false">
      <c r="A1" s="66" t="s">
        <v>384</v>
      </c>
    </row>
    <row r="3" customFormat="false" ht="15" hidden="false" customHeight="true" outlineLevel="0" collapsed="false">
      <c r="A3" s="67" t="s">
        <v>385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customFormat="false" ht="15" hidden="false" customHeight="true" outlineLevel="0" collapsed="false">
      <c r="A4" s="45" t="s">
        <v>386</v>
      </c>
      <c r="B4" s="69" t="n">
        <f aca="false">Assumptions!B15*Assumptions!B16/1000000</f>
        <v>30.5505</v>
      </c>
    </row>
    <row r="5" customFormat="false" ht="15" hidden="false" customHeight="true" outlineLevel="0" collapsed="false">
      <c r="A5" s="45" t="s">
        <v>387</v>
      </c>
      <c r="B5" s="69" t="n">
        <f aca="false">B4*Assumptions!B17</f>
        <v>18.3303</v>
      </c>
    </row>
    <row r="6" customFormat="false" ht="15" hidden="false" customHeight="true" outlineLevel="0" collapsed="false">
      <c r="A6" s="45" t="s">
        <v>388</v>
      </c>
      <c r="B6" s="69" t="n">
        <f aca="false">B5*Assumptions!B18/1000</f>
        <v>0.183303</v>
      </c>
    </row>
    <row r="7" customFormat="false" ht="15" hidden="false" customHeight="true" outlineLevel="0" collapsed="false">
      <c r="A7" s="45" t="s">
        <v>389</v>
      </c>
      <c r="B7" s="69" t="n">
        <f aca="false">B6*Assumptions!B19</f>
        <v>0.06965514</v>
      </c>
    </row>
    <row r="8" customFormat="false" ht="15" hidden="false" customHeight="true" outlineLevel="0" collapsed="false">
      <c r="A8" s="45" t="s">
        <v>390</v>
      </c>
      <c r="B8" s="69" t="n">
        <f aca="false">B7*1000/(365*24*0.9)</f>
        <v>0.008835</v>
      </c>
      <c r="D8" s="59" t="s">
        <v>391</v>
      </c>
    </row>
    <row r="10" customFormat="false" ht="15" hidden="false" customHeight="true" outlineLevel="0" collapsed="false">
      <c r="A10" s="67" t="s">
        <v>392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customFormat="false" ht="15" hidden="false" customHeight="true" outlineLevel="0" collapsed="false">
      <c r="A11" s="45" t="s">
        <v>393</v>
      </c>
      <c r="B11" s="69" t="n">
        <f aca="false">B8*(1-Assumptions!B30)</f>
        <v>0.00750975</v>
      </c>
    </row>
    <row r="12" customFormat="false" ht="15" hidden="false" customHeight="true" outlineLevel="0" collapsed="false">
      <c r="A12" s="63" t="s">
        <v>394</v>
      </c>
      <c r="B12" s="90" t="n">
        <f aca="false">B11*1000*Assumptions!B25/1000000</f>
        <v>0.033793875</v>
      </c>
    </row>
    <row r="13" customFormat="false" ht="15" hidden="false" customHeight="true" outlineLevel="0" collapsed="false">
      <c r="A13" s="45" t="s">
        <v>395</v>
      </c>
      <c r="B13" s="69" t="n">
        <f aca="false">B12/Assumptions!B26</f>
        <v>0.0033793875</v>
      </c>
    </row>
    <row r="15" customFormat="false" ht="15" hidden="false" customHeight="true" outlineLevel="0" collapsed="false">
      <c r="A15" s="67" t="s">
        <v>396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customFormat="false" ht="15" hidden="false" customHeight="true" outlineLevel="0" collapsed="false">
      <c r="A16" s="45" t="s">
        <v>397</v>
      </c>
      <c r="B16" s="69" t="n">
        <f aca="false">B7*1000000*Assumptions!B21/100/1000000</f>
        <v>0.0083586168</v>
      </c>
    </row>
    <row r="17" customFormat="false" ht="15" hidden="false" customHeight="true" outlineLevel="0" collapsed="false">
      <c r="A17" s="45" t="s">
        <v>398</v>
      </c>
      <c r="B17" s="69" t="n">
        <f aca="false">Assumptions!B8*(1-Assumptions!B9)*0.7</f>
        <v>24.794</v>
      </c>
      <c r="D17" s="59" t="s">
        <v>399</v>
      </c>
    </row>
    <row r="18" customFormat="false" ht="15" hidden="false" customHeight="true" outlineLevel="0" collapsed="false">
      <c r="A18" s="45" t="s">
        <v>176</v>
      </c>
      <c r="B18" s="69" t="n">
        <f aca="false">Assumptions!B15*Assumptions!B22/1000000</f>
        <v>2.37615</v>
      </c>
    </row>
    <row r="19" customFormat="false" ht="15" hidden="false" customHeight="true" outlineLevel="0" collapsed="false">
      <c r="A19" s="70" t="s">
        <v>177</v>
      </c>
      <c r="B19" s="71" t="n">
        <f aca="false">SUM(B16:B18)</f>
        <v>27.1785086168</v>
      </c>
      <c r="C19" s="70"/>
      <c r="D19" s="70"/>
    </row>
    <row r="21" customFormat="false" ht="15" hidden="false" customHeight="true" outlineLevel="0" collapsed="false">
      <c r="A21" s="67" t="s">
        <v>400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customFormat="false" ht="15" hidden="false" customHeight="true" outlineLevel="0" collapsed="false">
      <c r="A22" s="45" t="s">
        <v>401</v>
      </c>
      <c r="B22" s="69" t="n">
        <f aca="false">B12*Assumptions!B28</f>
        <v>0.001520724375</v>
      </c>
    </row>
    <row r="23" customFormat="false" ht="15" hidden="false" customHeight="true" outlineLevel="0" collapsed="false">
      <c r="A23" s="45" t="s">
        <v>402</v>
      </c>
      <c r="B23" s="69" t="n">
        <f aca="false">B12*Assumptions!B29</f>
        <v>0.000506908125</v>
      </c>
    </row>
    <row r="24" customFormat="false" ht="15" hidden="false" customHeight="true" outlineLevel="0" collapsed="false">
      <c r="A24" s="45" t="s">
        <v>403</v>
      </c>
      <c r="B24" s="69" t="n">
        <f aca="false">Assumptions!B35*Assumptions!B34*Assumptions!B39/1000000</f>
        <v>9.6</v>
      </c>
    </row>
    <row r="25" customFormat="false" ht="15" hidden="false" customHeight="true" outlineLevel="0" collapsed="false">
      <c r="A25" s="70" t="s">
        <v>404</v>
      </c>
      <c r="B25" s="71" t="n">
        <f aca="false">SUM(B22:B24)</f>
        <v>9.6020276325</v>
      </c>
      <c r="C25" s="70"/>
      <c r="D25" s="70"/>
    </row>
    <row r="27" customFormat="false" ht="15.75" hidden="false" customHeight="true" outlineLevel="0" collapsed="false">
      <c r="A27" s="62" t="s">
        <v>405</v>
      </c>
      <c r="B27" s="91" t="n">
        <f aca="false">B19-B25</f>
        <v>17.5764809843</v>
      </c>
    </row>
    <row r="28" customFormat="false" ht="15" hidden="false" customHeight="true" outlineLevel="0" collapsed="false">
      <c r="A28" s="45" t="s">
        <v>190</v>
      </c>
      <c r="B28" s="75" t="n">
        <f aca="false">B27*1000000/(Assumptions!B6/2.3)</f>
        <v>13.0406149238355</v>
      </c>
      <c r="D28" s="59" t="s">
        <v>406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40"/>
    <col collapsed="false" customWidth="true" hidden="false" outlineLevel="0" max="4" min="2" style="39" width="18"/>
    <col collapsed="false" customWidth="true" hidden="false" outlineLevel="0" max="5" min="5" style="39" width="50"/>
  </cols>
  <sheetData>
    <row r="1" customFormat="false" ht="17.25" hidden="false" customHeight="true" outlineLevel="0" collapsed="false">
      <c r="A1" s="66" t="s">
        <v>407</v>
      </c>
    </row>
    <row r="3" customFormat="false" ht="15" hidden="false" customHeight="true" outlineLevel="0" collapsed="false">
      <c r="A3" s="67" t="s">
        <v>408</v>
      </c>
      <c r="B3" s="43"/>
      <c r="C3" s="43"/>
      <c r="D3" s="43"/>
      <c r="E3" s="43"/>
    </row>
    <row r="4" customFormat="false" ht="15" hidden="false" customHeight="true" outlineLevel="0" collapsed="false">
      <c r="A4" s="45" t="s">
        <v>409</v>
      </c>
      <c r="B4" s="69" t="n">
        <f aca="false">'Investment &amp; Returns'!B13*Assumptions!B36</f>
        <v>0.0020276325</v>
      </c>
    </row>
    <row r="5" customFormat="false" ht="15" hidden="false" customHeight="true" outlineLevel="0" collapsed="false">
      <c r="A5" s="45" t="s">
        <v>410</v>
      </c>
      <c r="B5" s="73" t="n">
        <f aca="false">B4*Assumptions!B33</f>
        <v>0.02433159</v>
      </c>
    </row>
    <row r="6" customFormat="false" ht="15" hidden="false" customHeight="true" outlineLevel="0" collapsed="false">
      <c r="A6" s="45" t="s">
        <v>411</v>
      </c>
      <c r="B6" s="73" t="n">
        <f aca="false">B5*Assumptions!B37</f>
        <v>0.041363703</v>
      </c>
    </row>
    <row r="7" customFormat="false" ht="15" hidden="false" customHeight="true" outlineLevel="0" collapsed="false">
      <c r="A7" s="45" t="s">
        <v>412</v>
      </c>
      <c r="B7" s="69" t="n">
        <f aca="false">B5*Assumptions!B38/1000000</f>
        <v>0.00085160565</v>
      </c>
    </row>
    <row r="8" customFormat="false" ht="15" hidden="false" customHeight="true" outlineLevel="0" collapsed="false">
      <c r="A8" s="45" t="s">
        <v>413</v>
      </c>
      <c r="B8" s="69" t="n">
        <f aca="false">B7*Assumptions!B40</f>
        <v>0.000255481695</v>
      </c>
    </row>
    <row r="10" customFormat="false" ht="15" hidden="false" customHeight="true" outlineLevel="0" collapsed="false">
      <c r="A10" s="67" t="s">
        <v>414</v>
      </c>
      <c r="B10" s="43"/>
      <c r="C10" s="43"/>
      <c r="D10" s="43"/>
      <c r="E10" s="43"/>
    </row>
    <row r="11" customFormat="false" ht="15" hidden="false" customHeight="true" outlineLevel="0" collapsed="false">
      <c r="A11" s="45" t="s">
        <v>415</v>
      </c>
      <c r="B11" s="73" t="n">
        <f aca="false">Assumptions!B35*Assumptions!B34</f>
        <v>300</v>
      </c>
    </row>
    <row r="12" customFormat="false" ht="15" hidden="false" customHeight="true" outlineLevel="0" collapsed="false">
      <c r="A12" s="45" t="s">
        <v>416</v>
      </c>
      <c r="B12" s="73" t="n">
        <f aca="false">B11*Assumptions!B37</f>
        <v>510</v>
      </c>
    </row>
    <row r="13" customFormat="false" ht="15" hidden="false" customHeight="true" outlineLevel="0" collapsed="false">
      <c r="A13" s="45" t="s">
        <v>417</v>
      </c>
      <c r="B13" s="69" t="n">
        <f aca="false">B11*Assumptions!B39/1000000</f>
        <v>9.6</v>
      </c>
    </row>
    <row r="14" customFormat="false" ht="15" hidden="false" customHeight="true" outlineLevel="0" collapsed="false">
      <c r="A14" s="45" t="s">
        <v>418</v>
      </c>
      <c r="B14" s="69" t="n">
        <f aca="false">B13*Assumptions!B40</f>
        <v>2.88</v>
      </c>
    </row>
    <row r="15" customFormat="false" ht="15" hidden="false" customHeight="true" outlineLevel="0" collapsed="false">
      <c r="A15" s="45" t="s">
        <v>419</v>
      </c>
      <c r="B15" s="69" t="n">
        <f aca="false">B13*Assumptions!B41</f>
        <v>0.768</v>
      </c>
    </row>
    <row r="17" customFormat="false" ht="15" hidden="false" customHeight="true" outlineLevel="0" collapsed="false">
      <c r="A17" s="67" t="s">
        <v>420</v>
      </c>
      <c r="B17" s="43"/>
      <c r="C17" s="43"/>
      <c r="D17" s="43"/>
      <c r="E17" s="43"/>
    </row>
    <row r="18" customFormat="false" ht="15" hidden="false" customHeight="true" outlineLevel="0" collapsed="false">
      <c r="A18" s="45" t="s">
        <v>277</v>
      </c>
      <c r="B18" s="73" t="n">
        <f aca="false">Assumptions!B47</f>
        <v>2250</v>
      </c>
    </row>
    <row r="19" customFormat="false" ht="15" hidden="false" customHeight="true" outlineLevel="0" collapsed="false">
      <c r="A19" s="45" t="s">
        <v>421</v>
      </c>
      <c r="B19" s="73" t="n">
        <f aca="false">B18*Assumptions!B50</f>
        <v>1125</v>
      </c>
    </row>
    <row r="20" customFormat="false" ht="15" hidden="false" customHeight="true" outlineLevel="0" collapsed="false">
      <c r="A20" s="45" t="s">
        <v>422</v>
      </c>
      <c r="B20" s="69" t="n">
        <f aca="false">B19*Assumptions!B48/1000000</f>
        <v>1350</v>
      </c>
    </row>
    <row r="21" customFormat="false" ht="15" hidden="false" customHeight="true" outlineLevel="0" collapsed="false">
      <c r="A21" s="45" t="s">
        <v>423</v>
      </c>
      <c r="B21" s="69" t="n">
        <f aca="false">B20/15</f>
        <v>90</v>
      </c>
    </row>
    <row r="22" customFormat="false" ht="15" hidden="false" customHeight="true" outlineLevel="0" collapsed="false">
      <c r="A22" s="45" t="s">
        <v>424</v>
      </c>
      <c r="B22" s="73" t="n">
        <f aca="false">B19*Assumptions!B51</f>
        <v>9000</v>
      </c>
    </row>
    <row r="23" customFormat="false" ht="15" hidden="false" customHeight="true" outlineLevel="0" collapsed="false">
      <c r="A23" s="45" t="s">
        <v>425</v>
      </c>
      <c r="B23" s="73" t="n">
        <f aca="false">B22/15</f>
        <v>600</v>
      </c>
    </row>
    <row r="24" customFormat="false" ht="15" hidden="false" customHeight="true" outlineLevel="0" collapsed="false">
      <c r="A24" s="45" t="s">
        <v>426</v>
      </c>
      <c r="B24" s="73" t="n">
        <f aca="false">B19/10*Assumptions!B52</f>
        <v>337.5</v>
      </c>
      <c r="E24" s="59" t="s">
        <v>427</v>
      </c>
    </row>
    <row r="25" customFormat="false" ht="15" hidden="false" customHeight="true" outlineLevel="0" collapsed="false">
      <c r="A25" s="45" t="s">
        <v>428</v>
      </c>
      <c r="B25" s="86" t="n">
        <f aca="false">B19*Assumptions!B54/1000000</f>
        <v>50.625</v>
      </c>
    </row>
    <row r="26" customFormat="false" ht="15" hidden="false" customHeight="true" outlineLevel="0" collapsed="false">
      <c r="A26" s="92" t="s">
        <v>429</v>
      </c>
      <c r="B26" s="93" t="n">
        <f aca="false">B19*Assumptions!B53/1000000</f>
        <v>16.875</v>
      </c>
      <c r="C26" s="43"/>
      <c r="D26" s="43"/>
      <c r="E26" s="43"/>
    </row>
    <row r="27" customFormat="false" ht="15" hidden="false" customHeight="true" outlineLevel="0" collapsed="false">
      <c r="A27" s="45" t="s">
        <v>430</v>
      </c>
      <c r="B27" s="69" t="n">
        <f aca="false">B4*Assumptions!B26</f>
        <v>0.020276325</v>
      </c>
    </row>
    <row r="28" customFormat="false" ht="15" hidden="false" customHeight="true" outlineLevel="0" collapsed="false">
      <c r="A28" s="67" t="s">
        <v>431</v>
      </c>
      <c r="B28" s="94" t="n">
        <f aca="false">B20</f>
        <v>1350</v>
      </c>
      <c r="C28" s="43"/>
      <c r="D28" s="43"/>
      <c r="E28" s="43"/>
    </row>
    <row r="29" customFormat="false" ht="15" hidden="false" customHeight="true" outlineLevel="0" collapsed="false">
      <c r="A29" s="45" t="s">
        <v>432</v>
      </c>
      <c r="B29" s="73" t="n">
        <f aca="false">B5</f>
        <v>0.02433159</v>
      </c>
    </row>
    <row r="30" customFormat="false" ht="15" hidden="false" customHeight="true" outlineLevel="0" collapsed="false">
      <c r="A30" s="95" t="s">
        <v>433</v>
      </c>
      <c r="B30" s="84" t="n">
        <f aca="false">B23</f>
        <v>600</v>
      </c>
      <c r="C30" s="70"/>
      <c r="D30" s="70"/>
    </row>
    <row r="31" customFormat="false" ht="15" hidden="false" customHeight="true" outlineLevel="0" collapsed="false">
      <c r="A31" s="45" t="s">
        <v>434</v>
      </c>
      <c r="B31" s="77" t="n">
        <f aca="false">Assumptions!B61</f>
        <v>200</v>
      </c>
      <c r="E31" s="59" t="s">
        <v>435</v>
      </c>
    </row>
    <row r="32" customFormat="false" ht="15" hidden="false" customHeight="true" outlineLevel="0" collapsed="false">
      <c r="A32" s="70" t="s">
        <v>436</v>
      </c>
      <c r="B32" s="84" t="n">
        <f aca="false">SUM(B29:B31)</f>
        <v>800.02433159</v>
      </c>
      <c r="E32" s="59" t="s">
        <v>437</v>
      </c>
    </row>
    <row r="33" customFormat="false" ht="15" hidden="false" customHeight="true" outlineLevel="0" collapsed="false">
      <c r="A33" s="76" t="s">
        <v>438</v>
      </c>
      <c r="B33" s="89" t="n">
        <f aca="false">B32*Assumptions!B37</f>
        <v>1360.041363703</v>
      </c>
    </row>
    <row r="34" customFormat="false" ht="15" hidden="false" customHeight="true" outlineLevel="0" collapsed="false">
      <c r="A34" s="67" t="s">
        <v>439</v>
      </c>
      <c r="B34" s="43"/>
      <c r="C34" s="43"/>
      <c r="D34" s="43"/>
      <c r="E34" s="43"/>
    </row>
    <row r="35" customFormat="false" ht="15" hidden="false" customHeight="true" outlineLevel="0" collapsed="false">
      <c r="A35" s="45" t="s">
        <v>440</v>
      </c>
      <c r="B35" s="73" t="n">
        <f aca="false">B11</f>
        <v>300</v>
      </c>
    </row>
    <row r="36" customFormat="false" ht="15" hidden="false" customHeight="true" outlineLevel="0" collapsed="false">
      <c r="A36" s="45" t="s">
        <v>441</v>
      </c>
      <c r="B36" s="73" t="n">
        <v>80</v>
      </c>
    </row>
    <row r="37" customFormat="false" ht="15" hidden="false" customHeight="true" outlineLevel="0" collapsed="false">
      <c r="A37" s="45" t="s">
        <v>442</v>
      </c>
      <c r="B37" s="73" t="n">
        <f aca="false">B24</f>
        <v>337.5</v>
      </c>
      <c r="E37" s="59" t="s">
        <v>443</v>
      </c>
    </row>
    <row r="38" customFormat="false" ht="15" hidden="false" customHeight="true" outlineLevel="0" collapsed="false">
      <c r="A38" s="45" t="s">
        <v>444</v>
      </c>
      <c r="B38" s="73" t="n">
        <f aca="false">B19/100*Assumptions!B60</f>
        <v>56.25</v>
      </c>
    </row>
    <row r="39" customFormat="false" ht="15" hidden="false" customHeight="true" outlineLevel="0" collapsed="false">
      <c r="A39" s="95" t="s">
        <v>445</v>
      </c>
      <c r="B39" s="84" t="n">
        <f aca="false">Assumptions!B62</f>
        <v>50</v>
      </c>
      <c r="C39" s="70"/>
      <c r="D39" s="70"/>
    </row>
    <row r="40" customFormat="false" ht="15" hidden="false" customHeight="true" outlineLevel="0" collapsed="false">
      <c r="A40" s="70" t="s">
        <v>446</v>
      </c>
      <c r="B40" s="84" t="n">
        <f aca="false">SUM(B35:B39)</f>
        <v>823.75</v>
      </c>
    </row>
    <row r="41" customFormat="false" ht="15" hidden="false" customHeight="true" outlineLevel="0" collapsed="false">
      <c r="A41" s="76" t="s">
        <v>438</v>
      </c>
      <c r="B41" s="89" t="n">
        <f aca="false">B40*Assumptions!B37</f>
        <v>1400.375</v>
      </c>
    </row>
    <row r="43" customFormat="false" ht="15" hidden="false" customHeight="true" outlineLevel="0" collapsed="false">
      <c r="A43" s="67" t="s">
        <v>447</v>
      </c>
      <c r="B43" s="43"/>
      <c r="C43" s="43"/>
      <c r="D43" s="43"/>
      <c r="E43" s="43"/>
    </row>
    <row r="44" customFormat="false" ht="15" hidden="false" customHeight="true" outlineLevel="0" collapsed="false">
      <c r="A44" s="45" t="s">
        <v>448</v>
      </c>
      <c r="B44" s="86" t="n">
        <f aca="false">'Phased Works Investment'!H11*Assumptions!B36</f>
        <v>564.27</v>
      </c>
    </row>
    <row r="45" customFormat="false" ht="15" hidden="false" customHeight="true" outlineLevel="0" collapsed="false">
      <c r="A45" s="45" t="s">
        <v>449</v>
      </c>
      <c r="B45" s="86" t="n">
        <f aca="false">B20</f>
        <v>1350</v>
      </c>
    </row>
    <row r="46" customFormat="false" ht="15" hidden="false" customHeight="true" outlineLevel="0" collapsed="false">
      <c r="A46" s="63" t="s">
        <v>450</v>
      </c>
      <c r="B46" s="90" t="n">
        <f aca="false">B44+B45</f>
        <v>1914.27</v>
      </c>
    </row>
    <row r="47" customFormat="false" ht="15" hidden="false" customHeight="true" outlineLevel="0" collapsed="false">
      <c r="A47" s="45" t="s">
        <v>451</v>
      </c>
      <c r="B47" s="86" t="n">
        <f aca="false">'Investment &amp; Returns'!B19+B25+B26</f>
        <v>94.6785086168</v>
      </c>
      <c r="E47" s="59" t="s">
        <v>452</v>
      </c>
    </row>
    <row r="48" customFormat="false" ht="15" hidden="false" customHeight="true" outlineLevel="0" collapsed="false">
      <c r="A48" s="45" t="s">
        <v>453</v>
      </c>
      <c r="B48" s="86" t="n">
        <f aca="false">Assumptions!B58*Assumptions!B59</f>
        <v>50</v>
      </c>
    </row>
    <row r="49" customFormat="false" ht="15" hidden="false" customHeight="true" outlineLevel="0" collapsed="false">
      <c r="A49" s="45" t="s">
        <v>454</v>
      </c>
      <c r="B49" s="86" t="n">
        <f aca="false">B40*33000/1000000</f>
        <v>27.18375</v>
      </c>
      <c r="E49" s="59" t="s">
        <v>455</v>
      </c>
    </row>
    <row r="51" customFormat="false" ht="15" hidden="false" customHeight="true" outlineLevel="0" collapsed="false">
      <c r="A51" s="45" t="s">
        <v>456</v>
      </c>
      <c r="B51" s="86" t="n">
        <f aca="false">B46*Assumptions!B37</f>
        <v>3254.259</v>
      </c>
    </row>
    <row r="52" customFormat="false" ht="15" hidden="false" customHeight="true" outlineLevel="0" collapsed="false">
      <c r="A52" s="63" t="s">
        <v>457</v>
      </c>
      <c r="B52" s="90" t="n">
        <f aca="false">B51/15</f>
        <v>216.9506</v>
      </c>
    </row>
    <row r="53" customFormat="false" ht="15" hidden="false" customHeight="true" outlineLevel="0" collapsed="false">
      <c r="A53" s="63" t="s">
        <v>458</v>
      </c>
      <c r="B53" s="90" t="n">
        <f aca="false">(B47+B48+B49)*Assumptions!B37</f>
        <v>292.16583964856</v>
      </c>
    </row>
    <row r="54" customFormat="false" ht="15.75" hidden="false" customHeight="true" outlineLevel="0" collapsed="false">
      <c r="A54" s="96" t="s">
        <v>459</v>
      </c>
      <c r="B54" s="97" t="n">
        <f aca="false">B52+B53</f>
        <v>509.11643964856</v>
      </c>
    </row>
    <row r="55" customFormat="false" ht="15.75" hidden="false" customHeight="true" outlineLevel="0" collapsed="false">
      <c r="A55" s="96" t="s">
        <v>460</v>
      </c>
      <c r="B55" s="98" t="n">
        <f aca="false">B54/Assumptions!B57</f>
        <v>0.00652713384164821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40"/>
    <col collapsed="false" customWidth="true" hidden="false" outlineLevel="0" max="3" min="2" style="39" width="22"/>
    <col collapsed="false" customWidth="true" hidden="false" outlineLevel="0" max="4" min="4" style="39" width="30"/>
  </cols>
  <sheetData>
    <row r="1" customFormat="false" ht="17.25" hidden="false" customHeight="true" outlineLevel="0" collapsed="false">
      <c r="A1" s="66" t="s">
        <v>461</v>
      </c>
    </row>
    <row r="3" customFormat="false" ht="26.25" hidden="false" customHeight="true" outlineLevel="0" collapsed="false">
      <c r="A3" s="12" t="s">
        <v>462</v>
      </c>
      <c r="B3" s="12" t="s">
        <v>463</v>
      </c>
      <c r="C3" s="12" t="s">
        <v>464</v>
      </c>
      <c r="D3" s="12" t="s">
        <v>465</v>
      </c>
    </row>
    <row r="4" customFormat="false" ht="15" hidden="false" customHeight="true" outlineLevel="0" collapsed="false">
      <c r="A4" s="99" t="s">
        <v>466</v>
      </c>
      <c r="B4" s="99" t="s">
        <v>467</v>
      </c>
      <c r="C4" s="99" t="s">
        <v>468</v>
      </c>
      <c r="D4" s="100" t="s">
        <v>467</v>
      </c>
    </row>
    <row r="5" customFormat="false" ht="15" hidden="false" customHeight="true" outlineLevel="0" collapsed="false">
      <c r="A5" s="45" t="s">
        <v>469</v>
      </c>
      <c r="B5" s="45" t="s">
        <v>470</v>
      </c>
      <c r="C5" s="45" t="s">
        <v>471</v>
      </c>
      <c r="D5" s="57" t="s">
        <v>472</v>
      </c>
    </row>
    <row r="6" customFormat="false" ht="15" hidden="false" customHeight="true" outlineLevel="0" collapsed="false">
      <c r="A6" s="99" t="s">
        <v>473</v>
      </c>
      <c r="B6" s="99" t="s">
        <v>474</v>
      </c>
      <c r="C6" s="99" t="s">
        <v>475</v>
      </c>
      <c r="D6" s="100" t="s">
        <v>476</v>
      </c>
    </row>
    <row r="7" customFormat="false" ht="15" hidden="false" customHeight="true" outlineLevel="0" collapsed="false">
      <c r="A7" s="45" t="s">
        <v>477</v>
      </c>
      <c r="B7" s="45" t="s">
        <v>478</v>
      </c>
      <c r="C7" s="45" t="s">
        <v>479</v>
      </c>
      <c r="D7" s="57" t="s">
        <v>480</v>
      </c>
    </row>
    <row r="8" customFormat="false" ht="15" hidden="false" customHeight="true" outlineLevel="0" collapsed="false">
      <c r="A8" s="99" t="s">
        <v>481</v>
      </c>
      <c r="B8" s="99" t="s">
        <v>482</v>
      </c>
      <c r="C8" s="99" t="s">
        <v>483</v>
      </c>
      <c r="D8" s="100" t="s">
        <v>484</v>
      </c>
    </row>
    <row r="9" customFormat="false" ht="15" hidden="false" customHeight="true" outlineLevel="0" collapsed="false">
      <c r="A9" s="45" t="s">
        <v>485</v>
      </c>
      <c r="B9" s="45" t="s">
        <v>486</v>
      </c>
      <c r="C9" s="45" t="s">
        <v>487</v>
      </c>
      <c r="D9" s="57" t="s">
        <v>487</v>
      </c>
    </row>
    <row r="10" customFormat="false" ht="15" hidden="false" customHeight="true" outlineLevel="0" collapsed="false">
      <c r="A10" s="99" t="s">
        <v>488</v>
      </c>
      <c r="B10" s="99" t="s">
        <v>489</v>
      </c>
      <c r="C10" s="99" t="s">
        <v>196</v>
      </c>
      <c r="D10" s="100" t="s">
        <v>196</v>
      </c>
    </row>
    <row r="11" customFormat="false" ht="15" hidden="false" customHeight="true" outlineLevel="0" collapsed="false">
      <c r="A11" s="45" t="s">
        <v>490</v>
      </c>
      <c r="B11" s="45" t="s">
        <v>491</v>
      </c>
      <c r="C11" s="45" t="s">
        <v>492</v>
      </c>
      <c r="D11" s="57" t="s">
        <v>493</v>
      </c>
    </row>
    <row r="12" customFormat="false" ht="15" hidden="false" customHeight="true" outlineLevel="0" collapsed="false">
      <c r="A12" s="99" t="s">
        <v>494</v>
      </c>
      <c r="B12" s="99" t="s">
        <v>495</v>
      </c>
      <c r="C12" s="99" t="s">
        <v>496</v>
      </c>
      <c r="D12" s="100" t="s">
        <v>497</v>
      </c>
    </row>
    <row r="13" customFormat="false" ht="15" hidden="false" customHeight="true" outlineLevel="0" collapsed="false">
      <c r="A13" s="45" t="s">
        <v>498</v>
      </c>
      <c r="B13" s="45" t="s">
        <v>499</v>
      </c>
      <c r="C13" s="45" t="s">
        <v>500</v>
      </c>
      <c r="D13" s="57" t="s">
        <v>501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39" width="42"/>
    <col collapsed="false" customWidth="true" hidden="false" outlineLevel="0" max="4" min="2" style="39" width="20"/>
    <col collapsed="false" customWidth="true" hidden="false" outlineLevel="0" max="5" min="5" style="39" width="40"/>
  </cols>
  <sheetData>
    <row r="1" customFormat="false" ht="17.25" hidden="false" customHeight="true" outlineLevel="0" collapsed="false">
      <c r="A1" s="66" t="s">
        <v>502</v>
      </c>
    </row>
    <row r="3" customFormat="false" ht="15" hidden="false" customHeight="true" outlineLevel="0" collapsed="false">
      <c r="A3" s="67" t="s">
        <v>503</v>
      </c>
      <c r="B3" s="43"/>
      <c r="C3" s="43"/>
      <c r="D3" s="43"/>
      <c r="E3" s="43"/>
    </row>
    <row r="4" customFormat="false" ht="15" hidden="false" customHeight="true" outlineLevel="0" collapsed="false">
      <c r="A4" s="45" t="s">
        <v>504</v>
      </c>
      <c r="B4" s="101" t="n">
        <v>78000</v>
      </c>
      <c r="E4" s="59" t="s">
        <v>505</v>
      </c>
    </row>
    <row r="5" customFormat="false" ht="15" hidden="false" customHeight="true" outlineLevel="0" collapsed="false">
      <c r="A5" s="45" t="s">
        <v>506</v>
      </c>
      <c r="B5" s="69" t="n">
        <f aca="false">'Phased Works Investment'!H11</f>
        <v>940.45</v>
      </c>
    </row>
    <row r="6" customFormat="false" ht="15" hidden="false" customHeight="true" outlineLevel="0" collapsed="false">
      <c r="A6" s="45" t="s">
        <v>507</v>
      </c>
      <c r="B6" s="69" t="n">
        <f aca="false">'Employment &amp; GDP Impact'!B20</f>
        <v>1350</v>
      </c>
    </row>
    <row r="7" customFormat="false" ht="15" hidden="false" customHeight="true" outlineLevel="0" collapsed="false">
      <c r="A7" s="63" t="s">
        <v>508</v>
      </c>
      <c r="B7" s="90" t="n">
        <f aca="false">B5+B6</f>
        <v>2290.45</v>
      </c>
    </row>
    <row r="8" customFormat="false" ht="15" hidden="false" customHeight="true" outlineLevel="0" collapsed="false">
      <c r="A8" s="45" t="s">
        <v>509</v>
      </c>
      <c r="B8" s="82" t="n">
        <f aca="false">Assumptions!B36</f>
        <v>0.6</v>
      </c>
    </row>
    <row r="9" customFormat="false" ht="15" hidden="false" customHeight="true" outlineLevel="0" collapsed="false">
      <c r="A9" s="63" t="s">
        <v>510</v>
      </c>
      <c r="B9" s="90" t="n">
        <f aca="false">B7*B8</f>
        <v>1374.27</v>
      </c>
    </row>
    <row r="11" customFormat="false" ht="15" hidden="false" customHeight="true" outlineLevel="0" collapsed="false">
      <c r="A11" s="67" t="s">
        <v>511</v>
      </c>
      <c r="B11" s="43"/>
      <c r="C11" s="43"/>
      <c r="D11" s="43"/>
      <c r="E11" s="43"/>
    </row>
    <row r="12" customFormat="false" ht="15" hidden="false" customHeight="true" outlineLevel="0" collapsed="false">
      <c r="A12" s="45"/>
      <c r="B12" s="102" t="s">
        <v>512</v>
      </c>
      <c r="C12" s="102" t="s">
        <v>513</v>
      </c>
      <c r="D12" s="102" t="s">
        <v>514</v>
      </c>
      <c r="E12" s="103" t="s">
        <v>319</v>
      </c>
    </row>
    <row r="13" customFormat="false" ht="15" hidden="false" customHeight="true" outlineLevel="0" collapsed="false">
      <c r="A13" s="45" t="s">
        <v>515</v>
      </c>
      <c r="B13" s="86" t="n">
        <f aca="false">B9*1.5</f>
        <v>2061.405</v>
      </c>
      <c r="C13" s="86" t="n">
        <f aca="false">B9*1.7</f>
        <v>2336.259</v>
      </c>
      <c r="D13" s="86" t="n">
        <f aca="false">B9*2</f>
        <v>2748.54</v>
      </c>
      <c r="E13" s="59" t="s">
        <v>516</v>
      </c>
    </row>
    <row r="14" customFormat="false" ht="15" hidden="false" customHeight="true" outlineLevel="0" collapsed="false">
      <c r="A14" s="45" t="s">
        <v>517</v>
      </c>
      <c r="B14" s="86" t="n">
        <f aca="false">B13/15</f>
        <v>137.427</v>
      </c>
      <c r="C14" s="86" t="n">
        <f aca="false">C13/15</f>
        <v>155.7506</v>
      </c>
      <c r="D14" s="86" t="n">
        <f aca="false">D13/15</f>
        <v>183.236</v>
      </c>
      <c r="E14" s="59" t="s">
        <v>518</v>
      </c>
    </row>
    <row r="15" customFormat="false" ht="15" hidden="false" customHeight="true" outlineLevel="0" collapsed="false">
      <c r="A15" s="70" t="s">
        <v>519</v>
      </c>
      <c r="B15" s="104" t="n">
        <f aca="false">B14/B4</f>
        <v>0.00176188461538462</v>
      </c>
      <c r="C15" s="104" t="n">
        <f aca="false">C14/B4</f>
        <v>0.00199680256410256</v>
      </c>
      <c r="D15" s="104" t="n">
        <f aca="false">D14/B4</f>
        <v>0.00234917948717949</v>
      </c>
      <c r="E15" s="105"/>
    </row>
    <row r="17" customFormat="false" ht="15" hidden="false" customHeight="true" outlineLevel="0" collapsed="false">
      <c r="A17" s="45" t="s">
        <v>520</v>
      </c>
      <c r="B17" s="87" t="n">
        <f aca="false">MAX('Phased Works Investment'!B28:K28)</f>
        <v>2243.4</v>
      </c>
      <c r="C17" s="87" t="n">
        <f aca="false">B17</f>
        <v>2243.4</v>
      </c>
      <c r="D17" s="87" t="n">
        <f aca="false">B17</f>
        <v>2243.4</v>
      </c>
      <c r="E17" s="59" t="s">
        <v>521</v>
      </c>
    </row>
    <row r="18" customFormat="false" ht="15" hidden="false" customHeight="true" outlineLevel="0" collapsed="false">
      <c r="A18" s="63" t="s">
        <v>522</v>
      </c>
      <c r="B18" s="87" t="n">
        <f aca="false">B17*1.5</f>
        <v>3365.1</v>
      </c>
      <c r="C18" s="87" t="n">
        <f aca="false">C17*1.7</f>
        <v>3813.78</v>
      </c>
      <c r="D18" s="87" t="n">
        <f aca="false">D17*2</f>
        <v>4486.8</v>
      </c>
    </row>
    <row r="19" customFormat="false" ht="15" hidden="false" customHeight="true" outlineLevel="0" collapsed="false">
      <c r="A19" s="45" t="s">
        <v>523</v>
      </c>
      <c r="B19" s="87" t="n">
        <f aca="false">'Phased Works Investment'!J11+80</f>
        <v>780</v>
      </c>
      <c r="C19" s="87" t="n">
        <f aca="false">B19</f>
        <v>780</v>
      </c>
      <c r="D19" s="87" t="n">
        <f aca="false">B19</f>
        <v>780</v>
      </c>
    </row>
    <row r="20" customFormat="false" ht="15" hidden="false" customHeight="true" outlineLevel="0" collapsed="false">
      <c r="A20" s="63" t="s">
        <v>524</v>
      </c>
      <c r="B20" s="87" t="n">
        <f aca="false">B19*1.5</f>
        <v>1170</v>
      </c>
      <c r="C20" s="87" t="n">
        <f aca="false">C19*1.7</f>
        <v>1326</v>
      </c>
      <c r="D20" s="87" t="n">
        <f aca="false">D19*2</f>
        <v>1560</v>
      </c>
    </row>
    <row r="22" customFormat="false" ht="15" hidden="false" customHeight="true" outlineLevel="0" collapsed="false">
      <c r="A22" s="67" t="s">
        <v>525</v>
      </c>
      <c r="B22" s="43"/>
      <c r="C22" s="43"/>
      <c r="D22" s="43"/>
      <c r="E22" s="43"/>
    </row>
    <row r="23" customFormat="false" ht="15" hidden="false" customHeight="true" outlineLevel="0" collapsed="false">
      <c r="A23" s="63" t="s">
        <v>526</v>
      </c>
      <c r="E23" s="59" t="s">
        <v>527</v>
      </c>
    </row>
    <row r="24" customFormat="false" ht="15" hidden="false" customHeight="true" outlineLevel="0" collapsed="false">
      <c r="A24" s="45" t="s">
        <v>528</v>
      </c>
      <c r="B24" s="86" t="n">
        <f aca="false">B9</f>
        <v>1374.27</v>
      </c>
    </row>
    <row r="25" customFormat="false" ht="15" hidden="false" customHeight="true" outlineLevel="0" collapsed="false">
      <c r="A25" s="63" t="s">
        <v>529</v>
      </c>
      <c r="E25" s="59" t="s">
        <v>530</v>
      </c>
    </row>
    <row r="26" customFormat="false" ht="15" hidden="false" customHeight="true" outlineLevel="0" collapsed="false">
      <c r="A26" s="45" t="s">
        <v>531</v>
      </c>
      <c r="B26" s="86" t="n">
        <f aca="false">B9*0.35</f>
        <v>480.9945</v>
      </c>
      <c r="E26" s="59" t="s">
        <v>532</v>
      </c>
    </row>
    <row r="27" customFormat="false" ht="15" hidden="false" customHeight="true" outlineLevel="0" collapsed="false">
      <c r="A27" s="63" t="s">
        <v>533</v>
      </c>
      <c r="E27" s="59" t="s">
        <v>534</v>
      </c>
    </row>
    <row r="28" customFormat="false" ht="15" hidden="false" customHeight="true" outlineLevel="0" collapsed="false">
      <c r="A28" s="45" t="s">
        <v>535</v>
      </c>
      <c r="B28" s="86" t="n">
        <f aca="false">'Employment &amp; GDP Impact'!B7*Assumptions!B26</f>
        <v>0.0085160565</v>
      </c>
    </row>
    <row r="29" customFormat="false" ht="15" hidden="false" customHeight="true" outlineLevel="0" collapsed="false">
      <c r="A29" s="45" t="s">
        <v>536</v>
      </c>
      <c r="B29" s="86" t="n">
        <f aca="false">'Employment &amp; GDP Impact'!B13</f>
        <v>9.6</v>
      </c>
    </row>
    <row r="30" customFormat="false" ht="15" hidden="false" customHeight="true" outlineLevel="0" collapsed="false">
      <c r="A30" s="63" t="s">
        <v>537</v>
      </c>
      <c r="E30" s="59" t="s">
        <v>538</v>
      </c>
    </row>
    <row r="31" customFormat="false" ht="15" hidden="false" customHeight="true" outlineLevel="0" collapsed="false">
      <c r="A31" s="45" t="s">
        <v>539</v>
      </c>
      <c r="B31" s="86" t="n">
        <f aca="false">'Employment &amp; GDP Impact'!B39</f>
        <v>50</v>
      </c>
    </row>
    <row r="32" customFormat="false" ht="15" hidden="false" customHeight="true" outlineLevel="0" collapsed="false">
      <c r="A32" s="45" t="s">
        <v>540</v>
      </c>
      <c r="B32" s="86" t="n">
        <f aca="false">'Employment &amp; GDP Impact'!B15</f>
        <v>0.768</v>
      </c>
    </row>
    <row r="33" customFormat="false" ht="15" hidden="false" customHeight="true" outlineLevel="0" collapsed="false">
      <c r="A33" s="63" t="s">
        <v>541</v>
      </c>
      <c r="E33" s="59" t="s">
        <v>542</v>
      </c>
    </row>
    <row r="34" customFormat="false" ht="15" hidden="false" customHeight="true" outlineLevel="0" collapsed="false">
      <c r="A34" s="45" t="s">
        <v>543</v>
      </c>
      <c r="B34" s="106" t="n">
        <f aca="false">'Investment &amp; Returns'!B28</f>
        <v>13.0406149238355</v>
      </c>
    </row>
    <row r="35" customFormat="false" ht="15" hidden="false" customHeight="true" outlineLevel="0" collapsed="false">
      <c r="A35" s="45" t="s">
        <v>544</v>
      </c>
      <c r="B35" s="86" t="n">
        <f aca="false">'Employment &amp; GDP Impact'!B24</f>
        <v>337.5</v>
      </c>
    </row>
    <row r="36" customFormat="false" ht="15" hidden="false" customHeight="true" outlineLevel="0" collapsed="false">
      <c r="A36" s="45" t="s">
        <v>545</v>
      </c>
      <c r="B36" s="59" t="s">
        <v>546</v>
      </c>
      <c r="E36" s="59" t="s">
        <v>547</v>
      </c>
    </row>
    <row r="37" customFormat="false" ht="15" hidden="false" customHeight="true" outlineLevel="0" collapsed="false">
      <c r="A37" s="45" t="s">
        <v>548</v>
      </c>
      <c r="B37" s="59" t="s">
        <v>546</v>
      </c>
    </row>
    <row r="38" customFormat="false" ht="15" hidden="false" customHeight="true" outlineLevel="0" collapsed="false">
      <c r="A38" s="63" t="s">
        <v>549</v>
      </c>
    </row>
    <row r="39" customFormat="false" ht="15" hidden="false" customHeight="true" outlineLevel="0" collapsed="false">
      <c r="A39" s="45" t="s">
        <v>550</v>
      </c>
      <c r="B39" s="59" t="s">
        <v>546</v>
      </c>
      <c r="E39" s="59" t="s">
        <v>551</v>
      </c>
    </row>
    <row r="40" customFormat="false" ht="15" hidden="false" customHeight="true" outlineLevel="0" collapsed="false">
      <c r="A40" s="45" t="s">
        <v>552</v>
      </c>
      <c r="B40" s="59" t="s">
        <v>546</v>
      </c>
    </row>
    <row r="41" customFormat="false" ht="15" hidden="false" customHeight="true" outlineLevel="0" collapsed="false">
      <c r="A41" s="45" t="s">
        <v>553</v>
      </c>
      <c r="B41" s="59" t="s">
        <v>546</v>
      </c>
    </row>
    <row r="43" customFormat="false" ht="15" hidden="false" customHeight="true" outlineLevel="0" collapsed="false">
      <c r="A43" s="67" t="s">
        <v>554</v>
      </c>
      <c r="B43" s="43"/>
      <c r="C43" s="43"/>
      <c r="D43" s="43"/>
      <c r="E43" s="43"/>
    </row>
    <row r="44" customFormat="false" ht="19.5" hidden="false" customHeight="true" outlineLevel="0" collapsed="false">
      <c r="A44" s="107" t="s">
        <v>555</v>
      </c>
      <c r="B44" s="108" t="n">
        <f aca="false">C14</f>
        <v>155.7506</v>
      </c>
    </row>
    <row r="45" customFormat="false" ht="19.5" hidden="false" customHeight="true" outlineLevel="0" collapsed="false">
      <c r="A45" s="107" t="s">
        <v>556</v>
      </c>
      <c r="B45" s="109" t="n">
        <f aca="false">C15</f>
        <v>0.00199680256410256</v>
      </c>
    </row>
    <row r="46" customFormat="false" ht="19.5" hidden="false" customHeight="true" outlineLevel="0" collapsed="false">
      <c r="A46" s="107" t="s">
        <v>131</v>
      </c>
      <c r="B46" s="110" t="n">
        <f aca="false">'Investment &amp; Returns'!B28</f>
        <v>13.0406149238355</v>
      </c>
    </row>
    <row r="48" customFormat="false" ht="15" hidden="false" customHeight="true" outlineLevel="0" collapsed="false">
      <c r="A48" s="59" t="s">
        <v>557</v>
      </c>
    </row>
    <row r="49" customFormat="false" ht="15" hidden="false" customHeight="true" outlineLevel="0" collapsed="false">
      <c r="A49" s="111" t="s">
        <v>558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2026-03-23T12:23:09Z</dcterms:created>
  <dc:creator>openpyxl</dc:creator>
  <dc:description/>
  <dc:language>en-US</dc:language>
  <cp:lastModifiedBy/>
  <dcterms:modified xsi:type="dcterms:W3CDTF">2026-03-23T13:18:34Z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